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c_manicad_insurance_gov_ph/Documents/IC- Non Life Files/ASSIGNMENT/Template, Annual Statement/2022/Annex B1, Template for the Attachments/"/>
    </mc:Choice>
  </mc:AlternateContent>
  <xr:revisionPtr revIDLastSave="71" documentId="8_{1913F98C-DE75-4A3F-BA37-BD1BB63B3908}" xr6:coauthVersionLast="47" xr6:coauthVersionMax="47" xr10:uidLastSave="{A0AA2E6F-F77E-4724-9155-B2661336B10E}"/>
  <bookViews>
    <workbookView xWindow="-120" yWindow="-120" windowWidth="29040" windowHeight="15840" tabRatio="1000" activeTab="14" xr2:uid="{00000000-000D-0000-FFFF-FFFF00000000}"/>
  </bookViews>
  <sheets>
    <sheet name="Cover" sheetId="89" r:id="rId1"/>
    <sheet name="Notes" sheetId="98" r:id="rId2"/>
    <sheet name="Revisions" sheetId="99" r:id="rId3"/>
    <sheet name="CAR" sheetId="9" r:id="rId4"/>
    <sheet name="RBC Requirement" sheetId="87" r:id="rId5"/>
    <sheet name="Input &gt;" sheetId="84" r:id="rId6"/>
    <sheet name="Input_Capital" sheetId="91" r:id="rId7"/>
    <sheet name="Input_Asset" sheetId="94" r:id="rId8"/>
    <sheet name="Input_Liability" sheetId="18" r:id="rId9"/>
    <sheet name="Input_ALM" sheetId="28" r:id="rId10"/>
    <sheet name="Input_Currency" sheetId="93" r:id="rId11"/>
    <sheet name="Input_Operational" sheetId="88" r:id="rId12"/>
    <sheet name="Input_Catastrophe" sheetId="86" r:id="rId13"/>
    <sheet name="Parameters &gt;" sheetId="97" r:id="rId14"/>
    <sheet name="RC%_Receivables" sheetId="95" r:id="rId15"/>
  </sheets>
  <externalReferences>
    <externalReference r:id="rId16"/>
    <externalReference r:id="rId17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0" hidden="1">Cover!#REF!</definedName>
    <definedName name="_xlnm._FilterDatabase" localSheetId="7" hidden="1">Input_Asset!$A$18:$AN$243</definedName>
    <definedName name="com">[1]A!$B$1</definedName>
    <definedName name="CoName">[2]main!$E$5</definedName>
    <definedName name="CoType">#REF!</definedName>
    <definedName name="cy">[1]A!$H$5</definedName>
    <definedName name="dst">[1]A!$C$67</definedName>
    <definedName name="EndDate">#REF!</definedName>
    <definedName name="fst">[1]A!$C$66</definedName>
    <definedName name="isLifeCo">[2]main!$F$24</definedName>
    <definedName name="isMBA">#REF!</definedName>
    <definedName name="isNLco">[2]main!$F$25</definedName>
    <definedName name="isNonMBA">#REF!</definedName>
    <definedName name="isValidCoType">[2]main!$F$23</definedName>
    <definedName name="it">[1]A!$C$69</definedName>
    <definedName name="lgt">[1]A!$C$71</definedName>
    <definedName name="ot">[1]A!$C$72</definedName>
    <definedName name="Pal_Workbook_GUID" hidden="1">"2HILYI3BVYJ2CF8JYWBG7WNY"</definedName>
    <definedName name="_xlnm.Print_Area" localSheetId="3">CAR!$A$1:$T$54</definedName>
    <definedName name="_xlnm.Print_Area" localSheetId="14">'RC%_Receivables'!$A$1:$J$18</definedName>
    <definedName name="pt">[1]A!$C$65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SwapState" hidden="1">TRUE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StartDate">[2]main!$E$7</definedName>
    <definedName name="tp">[1]wbs!$G$25</definedName>
    <definedName name="tppy">[1]wbs!$M$25</definedName>
    <definedName name="useRBC2">[2]main!$F$30</definedName>
    <definedName name="vat">[1]A!$C$68</definedName>
    <definedName name="wt">[1]A!$C$70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31" i="94" l="1"/>
  <c r="K209" i="94" l="1"/>
  <c r="K208" i="94"/>
  <c r="K207" i="94"/>
  <c r="K206" i="94"/>
  <c r="K205" i="94"/>
  <c r="K204" i="94"/>
  <c r="K203" i="94"/>
  <c r="K176" i="94"/>
  <c r="K175" i="94"/>
  <c r="K174" i="94"/>
  <c r="K173" i="94"/>
  <c r="K172" i="94"/>
  <c r="K171" i="94"/>
  <c r="K170" i="94"/>
  <c r="K168" i="94"/>
  <c r="K167" i="94"/>
  <c r="K166" i="94"/>
  <c r="K165" i="94"/>
  <c r="K164" i="94"/>
  <c r="K163" i="94"/>
  <c r="K162" i="94"/>
  <c r="K45" i="94"/>
  <c r="K44" i="94"/>
  <c r="K43" i="94"/>
  <c r="K42" i="94"/>
  <c r="K41" i="94"/>
  <c r="K40" i="94"/>
  <c r="K39" i="94"/>
  <c r="K15" i="95"/>
  <c r="H212" i="94"/>
  <c r="H210" i="94" s="1"/>
  <c r="I212" i="94"/>
  <c r="L212" i="94" s="1"/>
  <c r="L213" i="94"/>
  <c r="L214" i="94"/>
  <c r="L216" i="94"/>
  <c r="L215" i="94"/>
  <c r="L217" i="94"/>
  <c r="I210" i="94" l="1"/>
  <c r="B5" i="95"/>
  <c r="B5" i="86"/>
  <c r="B5" i="88"/>
  <c r="B5" i="93"/>
  <c r="B5" i="28"/>
  <c r="B5" i="18"/>
  <c r="D5" i="94"/>
  <c r="B5" i="91"/>
  <c r="C5" i="87"/>
  <c r="B5" i="9"/>
  <c r="B5" i="98"/>
  <c r="E53" i="91" l="1"/>
  <c r="I222" i="94" l="1"/>
  <c r="I221" i="94" s="1"/>
  <c r="I220" i="94" s="1"/>
  <c r="H222" i="94"/>
  <c r="I199" i="94"/>
  <c r="H199" i="94"/>
  <c r="I196" i="94"/>
  <c r="H196" i="94"/>
  <c r="I192" i="94"/>
  <c r="I186" i="94" s="1"/>
  <c r="H192" i="94"/>
  <c r="H186" i="94" s="1"/>
  <c r="I183" i="94"/>
  <c r="I177" i="94" s="1"/>
  <c r="H183" i="94"/>
  <c r="H177" i="94" s="1"/>
  <c r="I169" i="94"/>
  <c r="H169" i="94"/>
  <c r="I161" i="94"/>
  <c r="H161" i="94"/>
  <c r="I157" i="94"/>
  <c r="I151" i="94" s="1"/>
  <c r="H157" i="94"/>
  <c r="H151" i="94" s="1"/>
  <c r="I148" i="94"/>
  <c r="I142" i="94" s="1"/>
  <c r="H148" i="94"/>
  <c r="H142" i="94" s="1"/>
  <c r="I135" i="94"/>
  <c r="H135" i="94"/>
  <c r="I131" i="94"/>
  <c r="H131" i="94"/>
  <c r="I127" i="94"/>
  <c r="H127" i="94"/>
  <c r="I124" i="94"/>
  <c r="I123" i="94" s="1"/>
  <c r="H124" i="94"/>
  <c r="I120" i="94"/>
  <c r="H120" i="94"/>
  <c r="H114" i="94" s="1"/>
  <c r="I114" i="94"/>
  <c r="I111" i="94"/>
  <c r="I105" i="94" s="1"/>
  <c r="I104" i="94" s="1"/>
  <c r="H111" i="94"/>
  <c r="H105" i="94"/>
  <c r="I101" i="94"/>
  <c r="H101" i="94"/>
  <c r="I79" i="94"/>
  <c r="H79" i="94"/>
  <c r="I70" i="94"/>
  <c r="H70" i="94"/>
  <c r="D23" i="86"/>
  <c r="L23" i="94"/>
  <c r="L211" i="94"/>
  <c r="F21" i="89"/>
  <c r="F22" i="89" s="1"/>
  <c r="C21" i="89"/>
  <c r="C22" i="89" s="1"/>
  <c r="J209" i="94"/>
  <c r="J208" i="94"/>
  <c r="J207" i="94"/>
  <c r="J206" i="94"/>
  <c r="J205" i="94"/>
  <c r="J204" i="94"/>
  <c r="J203" i="94"/>
  <c r="J176" i="94"/>
  <c r="J175" i="94"/>
  <c r="J174" i="94"/>
  <c r="J173" i="94"/>
  <c r="J172" i="94"/>
  <c r="J171" i="94"/>
  <c r="J170" i="94"/>
  <c r="J168" i="94"/>
  <c r="J167" i="94"/>
  <c r="J166" i="94"/>
  <c r="J165" i="94"/>
  <c r="J164" i="94"/>
  <c r="J163" i="94"/>
  <c r="J162" i="94"/>
  <c r="J40" i="94"/>
  <c r="J41" i="94"/>
  <c r="J42" i="94"/>
  <c r="J43" i="94"/>
  <c r="J44" i="94"/>
  <c r="J45" i="94"/>
  <c r="J39" i="94"/>
  <c r="E52" i="91"/>
  <c r="E51" i="91"/>
  <c r="H123" i="94" l="1"/>
  <c r="H130" i="94"/>
  <c r="H221" i="94"/>
  <c r="H220" i="94" s="1"/>
  <c r="H104" i="94"/>
  <c r="H100" i="94" s="1"/>
  <c r="I195" i="94"/>
  <c r="I141" i="94" s="1"/>
  <c r="H195" i="94"/>
  <c r="H141" i="94" s="1"/>
  <c r="I130" i="94"/>
  <c r="I100" i="94" s="1"/>
  <c r="L218" i="94" l="1"/>
  <c r="E50" i="91"/>
  <c r="B50" i="91"/>
  <c r="B51" i="91"/>
  <c r="B52" i="91"/>
  <c r="E49" i="91"/>
  <c r="B49" i="91"/>
  <c r="L223" i="94"/>
  <c r="B48" i="91"/>
  <c r="B47" i="91"/>
  <c r="B46" i="91"/>
  <c r="B45" i="91"/>
  <c r="E48" i="91"/>
  <c r="E47" i="91"/>
  <c r="E45" i="91"/>
  <c r="E35" i="91"/>
  <c r="D10" i="98" l="1"/>
  <c r="D9" i="98"/>
  <c r="B7" i="98"/>
  <c r="B6" i="98"/>
  <c r="L230" i="94" l="1"/>
  <c r="L232" i="94"/>
  <c r="L241" i="94"/>
  <c r="L19" i="94"/>
  <c r="L36" i="94"/>
  <c r="L34" i="94"/>
  <c r="L33" i="94"/>
  <c r="L32" i="94"/>
  <c r="L31" i="94"/>
  <c r="L30" i="94"/>
  <c r="L28" i="94"/>
  <c r="L27" i="94"/>
  <c r="L25" i="94"/>
  <c r="L24" i="94"/>
  <c r="L22" i="94"/>
  <c r="L21" i="94"/>
  <c r="C19" i="18"/>
  <c r="L234" i="94"/>
  <c r="L235" i="94"/>
  <c r="L236" i="94"/>
  <c r="L237" i="94"/>
  <c r="L238" i="94"/>
  <c r="L239" i="94"/>
  <c r="L240" i="94"/>
  <c r="L242" i="94"/>
  <c r="L243" i="94"/>
  <c r="L244" i="94"/>
  <c r="L233" i="94"/>
  <c r="L227" i="94"/>
  <c r="L219" i="94"/>
  <c r="I202" i="94"/>
  <c r="H202" i="94"/>
  <c r="G202" i="94"/>
  <c r="G161" i="94"/>
  <c r="G169" i="94"/>
  <c r="L26" i="94" l="1"/>
  <c r="L20" i="94" s="1"/>
  <c r="H97" i="94"/>
  <c r="I97" i="94"/>
  <c r="I88" i="94"/>
  <c r="H88" i="94"/>
  <c r="H82" i="94" s="1"/>
  <c r="I61" i="94"/>
  <c r="I55" i="94" s="1"/>
  <c r="H61" i="94"/>
  <c r="H55" i="94" s="1"/>
  <c r="I52" i="94"/>
  <c r="H52" i="94"/>
  <c r="I35" i="94"/>
  <c r="H35" i="94"/>
  <c r="I29" i="94" l="1"/>
  <c r="I91" i="94"/>
  <c r="I82" i="94"/>
  <c r="H46" i="94"/>
  <c r="H91" i="94"/>
  <c r="H29" i="94"/>
  <c r="I46" i="94"/>
  <c r="E46" i="91"/>
  <c r="L229" i="94"/>
  <c r="L228" i="94"/>
  <c r="L226" i="94"/>
  <c r="J233" i="94" l="1"/>
  <c r="L225" i="94" l="1"/>
  <c r="L224" i="94"/>
  <c r="L210" i="94"/>
  <c r="L201" i="94"/>
  <c r="L200" i="94"/>
  <c r="L198" i="94"/>
  <c r="L197" i="94"/>
  <c r="L196" i="94" l="1"/>
  <c r="L222" i="94"/>
  <c r="L221" i="94" s="1"/>
  <c r="L220" i="94" s="1"/>
  <c r="L199" i="94"/>
  <c r="L195" i="94" l="1"/>
  <c r="L194" i="94"/>
  <c r="L193" i="94"/>
  <c r="L191" i="94"/>
  <c r="L190" i="94"/>
  <c r="L189" i="94"/>
  <c r="L188" i="94"/>
  <c r="L187" i="94"/>
  <c r="L185" i="94"/>
  <c r="L184" i="94"/>
  <c r="L182" i="94"/>
  <c r="L181" i="94"/>
  <c r="L180" i="94"/>
  <c r="L179" i="94"/>
  <c r="L178" i="94"/>
  <c r="L160" i="94"/>
  <c r="L159" i="94"/>
  <c r="L158" i="94"/>
  <c r="L156" i="94"/>
  <c r="L155" i="94"/>
  <c r="L154" i="94"/>
  <c r="L153" i="94"/>
  <c r="L152" i="94"/>
  <c r="L150" i="94"/>
  <c r="L149" i="94"/>
  <c r="L147" i="94"/>
  <c r="L146" i="94"/>
  <c r="L145" i="94"/>
  <c r="L144" i="94"/>
  <c r="L143" i="94"/>
  <c r="L140" i="94"/>
  <c r="L139" i="94"/>
  <c r="L138" i="94"/>
  <c r="L137" i="94"/>
  <c r="L136" i="94"/>
  <c r="L134" i="94"/>
  <c r="L133" i="94"/>
  <c r="L132" i="94"/>
  <c r="L129" i="94"/>
  <c r="L128" i="94"/>
  <c r="L126" i="94"/>
  <c r="L125" i="94"/>
  <c r="L122" i="94"/>
  <c r="L121" i="94"/>
  <c r="L119" i="94"/>
  <c r="L118" i="94"/>
  <c r="L117" i="94"/>
  <c r="L116" i="94"/>
  <c r="L115" i="94"/>
  <c r="L113" i="94"/>
  <c r="L112" i="94"/>
  <c r="L110" i="94"/>
  <c r="L109" i="94"/>
  <c r="L108" i="94"/>
  <c r="L107" i="94"/>
  <c r="L106" i="94"/>
  <c r="L103" i="94"/>
  <c r="L102" i="94"/>
  <c r="L99" i="94"/>
  <c r="L98" i="94"/>
  <c r="L96" i="94"/>
  <c r="L95" i="94"/>
  <c r="L94" i="94"/>
  <c r="L93" i="94"/>
  <c r="L92" i="94"/>
  <c r="L90" i="94"/>
  <c r="L89" i="94"/>
  <c r="L87" i="94"/>
  <c r="L86" i="94"/>
  <c r="L85" i="94"/>
  <c r="L84" i="94"/>
  <c r="L83" i="94"/>
  <c r="L81" i="94"/>
  <c r="L80" i="94"/>
  <c r="L78" i="94"/>
  <c r="L77" i="94"/>
  <c r="L76" i="94"/>
  <c r="L75" i="94"/>
  <c r="L74" i="94"/>
  <c r="L72" i="94"/>
  <c r="L71" i="94"/>
  <c r="L69" i="94"/>
  <c r="L68" i="94"/>
  <c r="L67" i="94"/>
  <c r="L66" i="94"/>
  <c r="L65" i="94"/>
  <c r="L63" i="94"/>
  <c r="L62" i="94"/>
  <c r="L60" i="94"/>
  <c r="L59" i="94"/>
  <c r="L58" i="94"/>
  <c r="L57" i="94"/>
  <c r="L56" i="94"/>
  <c r="L54" i="94"/>
  <c r="L53" i="94"/>
  <c r="L51" i="94"/>
  <c r="L50" i="94"/>
  <c r="L49" i="94"/>
  <c r="L48" i="94"/>
  <c r="L47" i="94"/>
  <c r="L37" i="94"/>
  <c r="L35" i="94" s="1"/>
  <c r="L29" i="94" s="1"/>
  <c r="L61" i="94" l="1"/>
  <c r="L52" i="94"/>
  <c r="L46" i="94" s="1"/>
  <c r="L157" i="94"/>
  <c r="L151" i="94" s="1"/>
  <c r="L120" i="94"/>
  <c r="L114" i="94" s="1"/>
  <c r="L55" i="94"/>
  <c r="L70" i="94"/>
  <c r="L64" i="94" s="1"/>
  <c r="L148" i="94"/>
  <c r="L142" i="94" s="1"/>
  <c r="L88" i="94"/>
  <c r="L82" i="94" s="1"/>
  <c r="L111" i="94"/>
  <c r="L105" i="94" s="1"/>
  <c r="L192" i="94"/>
  <c r="L186" i="94" s="1"/>
  <c r="L97" i="94"/>
  <c r="L91" i="94" s="1"/>
  <c r="L79" i="94"/>
  <c r="L73" i="94" s="1"/>
  <c r="L101" i="94"/>
  <c r="L131" i="94"/>
  <c r="L183" i="94"/>
  <c r="L177" i="94" s="1"/>
  <c r="L135" i="94"/>
  <c r="L124" i="94"/>
  <c r="L127" i="94"/>
  <c r="L130" i="94" l="1"/>
  <c r="L104" i="94"/>
  <c r="L123" i="94"/>
  <c r="D34" i="18"/>
  <c r="E34" i="18" s="1"/>
  <c r="L100" i="94" l="1"/>
  <c r="C26" i="28"/>
  <c r="C27" i="28"/>
  <c r="C25" i="28"/>
  <c r="I19" i="28" l="1"/>
  <c r="H19" i="28" s="1"/>
  <c r="J99" i="94" l="1"/>
  <c r="J97" i="94"/>
  <c r="J96" i="94"/>
  <c r="J95" i="94"/>
  <c r="J94" i="94"/>
  <c r="J93" i="94"/>
  <c r="J92" i="94"/>
  <c r="J72" i="94"/>
  <c r="J69" i="94"/>
  <c r="J68" i="94"/>
  <c r="J67" i="94"/>
  <c r="J66" i="94"/>
  <c r="J65" i="94"/>
  <c r="J63" i="94"/>
  <c r="J61" i="94"/>
  <c r="J60" i="94"/>
  <c r="J59" i="94"/>
  <c r="J58" i="94"/>
  <c r="J57" i="94"/>
  <c r="J56" i="94"/>
  <c r="J54" i="94"/>
  <c r="J52" i="94"/>
  <c r="J51" i="94"/>
  <c r="J50" i="94"/>
  <c r="J49" i="94"/>
  <c r="J48" i="94"/>
  <c r="J47" i="94"/>
  <c r="L162" i="94" l="1"/>
  <c r="E25" i="86"/>
  <c r="E24" i="86"/>
  <c r="F18" i="88"/>
  <c r="G18" i="88" s="1"/>
  <c r="B7" i="95" l="1"/>
  <c r="F24" i="86"/>
  <c r="F19" i="18"/>
  <c r="E19" i="18"/>
  <c r="D19" i="18"/>
  <c r="J36" i="18"/>
  <c r="H36" i="18"/>
  <c r="F25" i="86" l="1"/>
  <c r="K48" i="18" l="1"/>
  <c r="I39" i="18"/>
  <c r="L163" i="94" l="1"/>
  <c r="L164" i="94"/>
  <c r="L165" i="94"/>
  <c r="L166" i="94"/>
  <c r="L167" i="94"/>
  <c r="L168" i="94"/>
  <c r="I38" i="94"/>
  <c r="H38" i="94"/>
  <c r="I26" i="94"/>
  <c r="I20" i="94" s="1"/>
  <c r="H26" i="94"/>
  <c r="H20" i="94" s="1"/>
  <c r="L161" i="94" l="1"/>
  <c r="L43" i="94"/>
  <c r="L39" i="94"/>
  <c r="L44" i="94"/>
  <c r="L40" i="94"/>
  <c r="L42" i="94"/>
  <c r="L45" i="94"/>
  <c r="L41" i="94"/>
  <c r="L38" i="94" l="1"/>
  <c r="L209" i="94"/>
  <c r="L203" i="94"/>
  <c r="L175" i="94"/>
  <c r="L173" i="94"/>
  <c r="L174" i="94"/>
  <c r="L171" i="94"/>
  <c r="L172" i="94"/>
  <c r="E18" i="87"/>
  <c r="L170" i="94" l="1"/>
  <c r="L176" i="94"/>
  <c r="E30" i="87"/>
  <c r="L169" i="94" l="1"/>
  <c r="L141" i="94" s="1"/>
  <c r="E29" i="87"/>
  <c r="E21" i="87"/>
  <c r="B7" i="86"/>
  <c r="B7" i="88"/>
  <c r="B7" i="93"/>
  <c r="B7" i="28"/>
  <c r="C7" i="87"/>
  <c r="B7" i="9"/>
  <c r="B7" i="18"/>
  <c r="D7" i="94"/>
  <c r="B7" i="91"/>
  <c r="B6" i="95"/>
  <c r="E24" i="9" l="1"/>
  <c r="E17" i="87"/>
  <c r="G38" i="94"/>
  <c r="G18" i="94" l="1"/>
  <c r="D6" i="94" l="1"/>
  <c r="F10" i="94"/>
  <c r="F9" i="94"/>
  <c r="D9" i="9"/>
  <c r="C101" i="28" l="1"/>
  <c r="K41" i="18" l="1"/>
  <c r="K45" i="18"/>
  <c r="K47" i="18"/>
  <c r="I41" i="18"/>
  <c r="I45" i="18"/>
  <c r="I47" i="18"/>
  <c r="E24" i="93" l="1"/>
  <c r="I24" i="93" s="1"/>
  <c r="E23" i="93"/>
  <c r="F23" i="93" s="1"/>
  <c r="E22" i="93"/>
  <c r="F22" i="93" s="1"/>
  <c r="E21" i="93"/>
  <c r="I21" i="93" s="1"/>
  <c r="E20" i="93"/>
  <c r="I20" i="93" s="1"/>
  <c r="E19" i="93"/>
  <c r="F19" i="93" s="1"/>
  <c r="D18" i="93"/>
  <c r="F21" i="93" l="1"/>
  <c r="I22" i="93"/>
  <c r="E18" i="93"/>
  <c r="F20" i="93"/>
  <c r="I19" i="93"/>
  <c r="I23" i="93"/>
  <c r="F24" i="93"/>
  <c r="C18" i="93"/>
  <c r="I18" i="93" l="1"/>
  <c r="E31" i="87" s="1"/>
  <c r="E28" i="91" l="1"/>
  <c r="E18" i="91" s="1"/>
  <c r="G64" i="28" l="1"/>
  <c r="G65" i="28"/>
  <c r="G66" i="28"/>
  <c r="G67" i="28"/>
  <c r="G68" i="28"/>
  <c r="G69" i="28"/>
  <c r="G70" i="28"/>
  <c r="G71" i="28"/>
  <c r="G72" i="28"/>
  <c r="G73" i="28"/>
  <c r="G74" i="28"/>
  <c r="G75" i="28"/>
  <c r="G76" i="28"/>
  <c r="G77" i="28"/>
  <c r="G78" i="28"/>
  <c r="G79" i="28"/>
  <c r="G80" i="28"/>
  <c r="G81" i="28"/>
  <c r="G82" i="28"/>
  <c r="G83" i="28"/>
  <c r="G84" i="28"/>
  <c r="G85" i="28"/>
  <c r="G86" i="28"/>
  <c r="G87" i="28"/>
  <c r="G88" i="28"/>
  <c r="G89" i="28"/>
  <c r="G90" i="28"/>
  <c r="G91" i="28"/>
  <c r="G92" i="28"/>
  <c r="G93" i="28"/>
  <c r="G94" i="28"/>
  <c r="G95" i="28"/>
  <c r="E18" i="9" l="1"/>
  <c r="E17" i="9"/>
  <c r="G124" i="28"/>
  <c r="G114" i="28"/>
  <c r="G106" i="28"/>
  <c r="G132" i="28"/>
  <c r="G123" i="28"/>
  <c r="G122" i="28"/>
  <c r="G121" i="28"/>
  <c r="G113" i="28"/>
  <c r="G105" i="28"/>
  <c r="G128" i="28"/>
  <c r="G120" i="28"/>
  <c r="G112" i="28"/>
  <c r="G104" i="28"/>
  <c r="G116" i="28"/>
  <c r="G103" i="28"/>
  <c r="G108" i="28"/>
  <c r="G115" i="28"/>
  <c r="G130" i="28"/>
  <c r="G129" i="28"/>
  <c r="G119" i="28"/>
  <c r="G126" i="28"/>
  <c r="G110" i="28"/>
  <c r="G102" i="28"/>
  <c r="G131" i="28"/>
  <c r="G107" i="28"/>
  <c r="G127" i="28"/>
  <c r="G111" i="28"/>
  <c r="G118" i="28"/>
  <c r="G133" i="28"/>
  <c r="G125" i="28"/>
  <c r="G117" i="28"/>
  <c r="G109" i="28"/>
  <c r="C10" i="93"/>
  <c r="C9" i="93"/>
  <c r="B6" i="93"/>
  <c r="C10" i="91" l="1"/>
  <c r="C9" i="91"/>
  <c r="B6" i="91"/>
  <c r="B49" i="18" l="1"/>
  <c r="B48" i="18"/>
  <c r="B47" i="18"/>
  <c r="B46" i="18"/>
  <c r="B45" i="18"/>
  <c r="B44" i="18"/>
  <c r="B43" i="18"/>
  <c r="B42" i="18"/>
  <c r="B41" i="18"/>
  <c r="B40" i="18"/>
  <c r="B39" i="18"/>
  <c r="B103" i="28" l="1"/>
  <c r="C103" i="28"/>
  <c r="D103" i="28"/>
  <c r="B65" i="28"/>
  <c r="E65" i="28"/>
  <c r="F65" i="28"/>
  <c r="F38" i="18"/>
  <c r="F103" i="28" l="1"/>
  <c r="E103" i="28"/>
  <c r="E63" i="28" l="1"/>
  <c r="D102" i="28" l="1"/>
  <c r="D104" i="28"/>
  <c r="C102" i="28"/>
  <c r="C104" i="28"/>
  <c r="B102" i="28"/>
  <c r="B104" i="28"/>
  <c r="B105" i="28"/>
  <c r="B106" i="28"/>
  <c r="B107" i="28"/>
  <c r="B108" i="28"/>
  <c r="B109" i="28"/>
  <c r="B110" i="28"/>
  <c r="B111" i="28"/>
  <c r="B112" i="28"/>
  <c r="B113" i="28"/>
  <c r="B114" i="28"/>
  <c r="B115" i="28"/>
  <c r="B116" i="28"/>
  <c r="B117" i="28"/>
  <c r="B118" i="28"/>
  <c r="B119" i="28"/>
  <c r="B120" i="28"/>
  <c r="B121" i="28"/>
  <c r="B122" i="28"/>
  <c r="B123" i="28"/>
  <c r="B124" i="28"/>
  <c r="B125" i="28"/>
  <c r="B126" i="28"/>
  <c r="B127" i="28"/>
  <c r="B128" i="28"/>
  <c r="B129" i="28"/>
  <c r="B130" i="28"/>
  <c r="B131" i="28"/>
  <c r="B132" i="28"/>
  <c r="B133" i="28"/>
  <c r="E64" i="28"/>
  <c r="F64" i="28"/>
  <c r="E66" i="28"/>
  <c r="F66" i="28"/>
  <c r="B64" i="28"/>
  <c r="B66" i="28"/>
  <c r="B67" i="28"/>
  <c r="B68" i="28"/>
  <c r="B69" i="28"/>
  <c r="B70" i="28"/>
  <c r="B71" i="28"/>
  <c r="B72" i="28"/>
  <c r="B73" i="28"/>
  <c r="B74" i="28"/>
  <c r="B75" i="28"/>
  <c r="B76" i="28"/>
  <c r="B77" i="28"/>
  <c r="B78" i="28"/>
  <c r="B79" i="28"/>
  <c r="B80" i="28"/>
  <c r="B81" i="28"/>
  <c r="B82" i="28"/>
  <c r="B83" i="28"/>
  <c r="B84" i="28"/>
  <c r="B85" i="28"/>
  <c r="B86" i="28"/>
  <c r="B87" i="28"/>
  <c r="B88" i="28"/>
  <c r="B89" i="28"/>
  <c r="B90" i="28"/>
  <c r="B91" i="28"/>
  <c r="B92" i="28"/>
  <c r="B93" i="28"/>
  <c r="B94" i="28"/>
  <c r="B95" i="28"/>
  <c r="B63" i="28"/>
  <c r="H104" i="28" l="1"/>
  <c r="J66" i="28"/>
  <c r="H87" i="28"/>
  <c r="H71" i="28"/>
  <c r="H94" i="28"/>
  <c r="H86" i="28"/>
  <c r="H78" i="28"/>
  <c r="H70" i="28"/>
  <c r="J64" i="28"/>
  <c r="H103" i="28"/>
  <c r="J103" i="28"/>
  <c r="I103" i="28"/>
  <c r="H80" i="28"/>
  <c r="H79" i="28"/>
  <c r="I64" i="28"/>
  <c r="H92" i="28"/>
  <c r="H84" i="28"/>
  <c r="H76" i="28"/>
  <c r="H68" i="28"/>
  <c r="H91" i="28"/>
  <c r="H83" i="28"/>
  <c r="H75" i="28"/>
  <c r="H67" i="28"/>
  <c r="H95" i="28"/>
  <c r="H93" i="28"/>
  <c r="H69" i="28"/>
  <c r="H90" i="28"/>
  <c r="H66" i="28"/>
  <c r="H88" i="28"/>
  <c r="H72" i="28"/>
  <c r="I66" i="28"/>
  <c r="H85" i="28"/>
  <c r="H77" i="28"/>
  <c r="H82" i="28"/>
  <c r="H74" i="28"/>
  <c r="H89" i="28"/>
  <c r="H81" i="28"/>
  <c r="H73" i="28"/>
  <c r="H64" i="28"/>
  <c r="J65" i="28"/>
  <c r="H65" i="28"/>
  <c r="I65" i="28"/>
  <c r="F102" i="28"/>
  <c r="F104" i="28"/>
  <c r="J104" i="28" s="1"/>
  <c r="E102" i="28"/>
  <c r="E104" i="28"/>
  <c r="I104" i="28" s="1"/>
  <c r="E67" i="28" l="1"/>
  <c r="I67" i="28" l="1"/>
  <c r="D38" i="18"/>
  <c r="B6" i="18" l="1"/>
  <c r="D10" i="9" l="1"/>
  <c r="E10" i="87"/>
  <c r="C10" i="18"/>
  <c r="B6" i="86"/>
  <c r="B6" i="88"/>
  <c r="B6" i="28"/>
  <c r="C10" i="86"/>
  <c r="C10" i="88"/>
  <c r="D10" i="28"/>
  <c r="B6" i="9" l="1"/>
  <c r="C6" i="87" l="1"/>
  <c r="D105" i="28" l="1"/>
  <c r="D106" i="28"/>
  <c r="D107" i="28"/>
  <c r="D108" i="28"/>
  <c r="D109" i="28"/>
  <c r="D110" i="28"/>
  <c r="D111" i="28"/>
  <c r="D112" i="28"/>
  <c r="D113" i="28"/>
  <c r="D114" i="28"/>
  <c r="D115" i="28"/>
  <c r="D116" i="28"/>
  <c r="D117" i="28"/>
  <c r="D118" i="28"/>
  <c r="D119" i="28"/>
  <c r="D120" i="28"/>
  <c r="D121" i="28"/>
  <c r="D122" i="28"/>
  <c r="D123" i="28"/>
  <c r="D124" i="28"/>
  <c r="D125" i="28"/>
  <c r="D126" i="28"/>
  <c r="D127" i="28"/>
  <c r="D128" i="28"/>
  <c r="D129" i="28"/>
  <c r="D130" i="28"/>
  <c r="D131" i="28"/>
  <c r="D132" i="28"/>
  <c r="D133" i="28"/>
  <c r="D101" i="28"/>
  <c r="B101" i="28"/>
  <c r="I102" i="28" s="1"/>
  <c r="F67" i="28"/>
  <c r="F68" i="28"/>
  <c r="F69" i="28"/>
  <c r="F70" i="28"/>
  <c r="F71" i="28"/>
  <c r="F72" i="28"/>
  <c r="F73" i="28"/>
  <c r="F74" i="28"/>
  <c r="F75" i="28"/>
  <c r="F76" i="28"/>
  <c r="F77" i="28"/>
  <c r="F78" i="28"/>
  <c r="F79" i="28"/>
  <c r="F80" i="28"/>
  <c r="F81" i="28"/>
  <c r="F82" i="28"/>
  <c r="F83" i="28"/>
  <c r="F84" i="28"/>
  <c r="F85" i="28"/>
  <c r="F86" i="28"/>
  <c r="F87" i="28"/>
  <c r="F88" i="28"/>
  <c r="F89" i="28"/>
  <c r="F90" i="28"/>
  <c r="F91" i="28"/>
  <c r="F92" i="28"/>
  <c r="F93" i="28"/>
  <c r="F94" i="28"/>
  <c r="F95" i="28"/>
  <c r="F63" i="28"/>
  <c r="E68" i="28"/>
  <c r="E69" i="28"/>
  <c r="E70" i="28"/>
  <c r="E71" i="28"/>
  <c r="E72" i="28"/>
  <c r="E73" i="28"/>
  <c r="E74" i="28"/>
  <c r="E75" i="28"/>
  <c r="E76" i="28"/>
  <c r="E77" i="28"/>
  <c r="E78" i="28"/>
  <c r="E79" i="28"/>
  <c r="E80" i="28"/>
  <c r="E81" i="28"/>
  <c r="E82" i="28"/>
  <c r="E83" i="28"/>
  <c r="E84" i="28"/>
  <c r="E85" i="28"/>
  <c r="E86" i="28"/>
  <c r="E87" i="28"/>
  <c r="E88" i="28"/>
  <c r="E89" i="28"/>
  <c r="E90" i="28"/>
  <c r="E91" i="28"/>
  <c r="E92" i="28"/>
  <c r="E93" i="28"/>
  <c r="E94" i="28"/>
  <c r="E95" i="28"/>
  <c r="I85" i="28" l="1"/>
  <c r="J82" i="28"/>
  <c r="I92" i="28"/>
  <c r="I84" i="28"/>
  <c r="I76" i="28"/>
  <c r="I68" i="28"/>
  <c r="J89" i="28"/>
  <c r="J81" i="28"/>
  <c r="J73" i="28"/>
  <c r="I91" i="28"/>
  <c r="I83" i="28"/>
  <c r="I75" i="28"/>
  <c r="J88" i="28"/>
  <c r="J80" i="28"/>
  <c r="J72" i="28"/>
  <c r="I69" i="28"/>
  <c r="H102" i="28"/>
  <c r="J102" i="28"/>
  <c r="I90" i="28"/>
  <c r="J79" i="28"/>
  <c r="J94" i="28"/>
  <c r="I72" i="28"/>
  <c r="J77" i="28"/>
  <c r="J69" i="28"/>
  <c r="I93" i="28"/>
  <c r="J90" i="28"/>
  <c r="I82" i="28"/>
  <c r="J95" i="28"/>
  <c r="I89" i="28"/>
  <c r="I81" i="28"/>
  <c r="J86" i="28"/>
  <c r="J78" i="28"/>
  <c r="J70" i="28"/>
  <c r="I80" i="28"/>
  <c r="J93" i="28"/>
  <c r="I95" i="28"/>
  <c r="I79" i="28"/>
  <c r="I71" i="28"/>
  <c r="J92" i="28"/>
  <c r="J84" i="28"/>
  <c r="J76" i="28"/>
  <c r="J68" i="28"/>
  <c r="I77" i="28"/>
  <c r="J74" i="28"/>
  <c r="I74" i="28"/>
  <c r="J87" i="28"/>
  <c r="J71" i="28"/>
  <c r="I73" i="28"/>
  <c r="I88" i="28"/>
  <c r="J85" i="28"/>
  <c r="I87" i="28"/>
  <c r="I94" i="28"/>
  <c r="I86" i="28"/>
  <c r="I78" i="28"/>
  <c r="I70" i="28"/>
  <c r="J91" i="28"/>
  <c r="J83" i="28"/>
  <c r="J75" i="28"/>
  <c r="J67" i="28"/>
  <c r="C105" i="28" l="1"/>
  <c r="H105" i="28" s="1"/>
  <c r="C119" i="28"/>
  <c r="H119" i="28" s="1"/>
  <c r="C108" i="28"/>
  <c r="H108" i="28" s="1"/>
  <c r="C126" i="28"/>
  <c r="H126" i="28" s="1"/>
  <c r="C121" i="28"/>
  <c r="H121" i="28" s="1"/>
  <c r="C120" i="28"/>
  <c r="H120" i="28" s="1"/>
  <c r="C125" i="28"/>
  <c r="H125" i="28" s="1"/>
  <c r="C124" i="28"/>
  <c r="H124" i="28" s="1"/>
  <c r="C112" i="28"/>
  <c r="H112" i="28" s="1"/>
  <c r="C131" i="28"/>
  <c r="H131" i="28" s="1"/>
  <c r="C118" i="28"/>
  <c r="H118" i="28" s="1"/>
  <c r="C133" i="28"/>
  <c r="H133" i="28" s="1"/>
  <c r="C110" i="28"/>
  <c r="H110" i="28" s="1"/>
  <c r="C111" i="28"/>
  <c r="H111" i="28" s="1"/>
  <c r="C106" i="28"/>
  <c r="H106" i="28" s="1"/>
  <c r="C129" i="28"/>
  <c r="H129" i="28" s="1"/>
  <c r="C127" i="28"/>
  <c r="H127" i="28" s="1"/>
  <c r="C107" i="28"/>
  <c r="H107" i="28" s="1"/>
  <c r="C128" i="28"/>
  <c r="H128" i="28" s="1"/>
  <c r="C122" i="28"/>
  <c r="H122" i="28" s="1"/>
  <c r="C132" i="28"/>
  <c r="H132" i="28" s="1"/>
  <c r="C114" i="28"/>
  <c r="H114" i="28" s="1"/>
  <c r="C123" i="28"/>
  <c r="H123" i="28" s="1"/>
  <c r="C109" i="28"/>
  <c r="H109" i="28" s="1"/>
  <c r="C130" i="28"/>
  <c r="H130" i="28" s="1"/>
  <c r="C117" i="28"/>
  <c r="H117" i="28" s="1"/>
  <c r="C115" i="28"/>
  <c r="H115" i="28" s="1"/>
  <c r="C116" i="28"/>
  <c r="H116" i="28" s="1"/>
  <c r="C113" i="28"/>
  <c r="H113" i="28" s="1"/>
  <c r="F118" i="28" l="1"/>
  <c r="J118" i="28" s="1"/>
  <c r="F126" i="28"/>
  <c r="J126" i="28" s="1"/>
  <c r="E126" i="28"/>
  <c r="I126" i="28" s="1"/>
  <c r="E123" i="28"/>
  <c r="I123" i="28" s="1"/>
  <c r="F123" i="28"/>
  <c r="J123" i="28" s="1"/>
  <c r="E128" i="28"/>
  <c r="I128" i="28" s="1"/>
  <c r="F128" i="28"/>
  <c r="J128" i="28" s="1"/>
  <c r="F133" i="28"/>
  <c r="J133" i="28" s="1"/>
  <c r="E133" i="28"/>
  <c r="I133" i="28" s="1"/>
  <c r="F124" i="28"/>
  <c r="J124" i="28" s="1"/>
  <c r="E124" i="28"/>
  <c r="I124" i="28" s="1"/>
  <c r="E117" i="28"/>
  <c r="I117" i="28" s="1"/>
  <c r="F117" i="28"/>
  <c r="J117" i="28" s="1"/>
  <c r="F114" i="28"/>
  <c r="J114" i="28" s="1"/>
  <c r="E114" i="28"/>
  <c r="I114" i="28" s="1"/>
  <c r="E101" i="28"/>
  <c r="F101" i="28"/>
  <c r="F106" i="28"/>
  <c r="J106" i="28" s="1"/>
  <c r="E106" i="28"/>
  <c r="I106" i="28" s="1"/>
  <c r="E118" i="28"/>
  <c r="I118" i="28" s="1"/>
  <c r="F125" i="28"/>
  <c r="J125" i="28" s="1"/>
  <c r="E125" i="28"/>
  <c r="I125" i="28" s="1"/>
  <c r="F108" i="28"/>
  <c r="J108" i="28" s="1"/>
  <c r="E108" i="28"/>
  <c r="I108" i="28" s="1"/>
  <c r="E113" i="28"/>
  <c r="I113" i="28" s="1"/>
  <c r="F113" i="28"/>
  <c r="J113" i="28" s="1"/>
  <c r="F107" i="28"/>
  <c r="J107" i="28" s="1"/>
  <c r="E107" i="28"/>
  <c r="I107" i="28" s="1"/>
  <c r="F111" i="28"/>
  <c r="J111" i="28" s="1"/>
  <c r="E111" i="28"/>
  <c r="I111" i="28" s="1"/>
  <c r="E131" i="28"/>
  <c r="I131" i="28" s="1"/>
  <c r="F131" i="28"/>
  <c r="J131" i="28" s="1"/>
  <c r="F120" i="28"/>
  <c r="J120" i="28" s="1"/>
  <c r="E120" i="28"/>
  <c r="I120" i="28" s="1"/>
  <c r="F119" i="28"/>
  <c r="J119" i="28" s="1"/>
  <c r="E119" i="28"/>
  <c r="I119" i="28" s="1"/>
  <c r="E115" i="28"/>
  <c r="I115" i="28" s="1"/>
  <c r="F115" i="28"/>
  <c r="J115" i="28" s="1"/>
  <c r="E129" i="28"/>
  <c r="I129" i="28" s="1"/>
  <c r="F129" i="28"/>
  <c r="J129" i="28" s="1"/>
  <c r="E130" i="28"/>
  <c r="I130" i="28" s="1"/>
  <c r="F130" i="28"/>
  <c r="J130" i="28" s="1"/>
  <c r="E132" i="28"/>
  <c r="I132" i="28" s="1"/>
  <c r="F132" i="28"/>
  <c r="J132" i="28" s="1"/>
  <c r="E116" i="28"/>
  <c r="I116" i="28" s="1"/>
  <c r="F116" i="28"/>
  <c r="J116" i="28" s="1"/>
  <c r="F109" i="28"/>
  <c r="J109" i="28" s="1"/>
  <c r="E109" i="28"/>
  <c r="I109" i="28" s="1"/>
  <c r="E122" i="28"/>
  <c r="I122" i="28" s="1"/>
  <c r="F122" i="28"/>
  <c r="J122" i="28" s="1"/>
  <c r="F127" i="28"/>
  <c r="J127" i="28" s="1"/>
  <c r="E127" i="28"/>
  <c r="I127" i="28" s="1"/>
  <c r="E110" i="28"/>
  <c r="I110" i="28" s="1"/>
  <c r="F110" i="28"/>
  <c r="J110" i="28" s="1"/>
  <c r="E112" i="28"/>
  <c r="I112" i="28" s="1"/>
  <c r="F112" i="28"/>
  <c r="J112" i="28" s="1"/>
  <c r="F121" i="28"/>
  <c r="J121" i="28" s="1"/>
  <c r="E121" i="28"/>
  <c r="I121" i="28" s="1"/>
  <c r="F105" i="28"/>
  <c r="J105" i="28" s="1"/>
  <c r="E105" i="28"/>
  <c r="I105" i="28" s="1"/>
  <c r="C9" i="88" l="1"/>
  <c r="D9" i="28"/>
  <c r="E9" i="87"/>
  <c r="C9" i="86"/>
  <c r="C9" i="18"/>
  <c r="E18" i="88" l="1"/>
  <c r="G63" i="28" l="1"/>
  <c r="G101" i="28" l="1"/>
  <c r="I63" i="28"/>
  <c r="I62" i="28" s="1"/>
  <c r="H16" i="28" s="1"/>
  <c r="H63" i="28"/>
  <c r="H62" i="28" s="1"/>
  <c r="H15" i="28" s="1"/>
  <c r="J63" i="28"/>
  <c r="J62" i="28" s="1"/>
  <c r="H17" i="28" s="1"/>
  <c r="G62" i="28"/>
  <c r="H101" i="28" l="1"/>
  <c r="H100" i="28" s="1"/>
  <c r="M15" i="28" s="1"/>
  <c r="I101" i="28"/>
  <c r="I100" i="28" s="1"/>
  <c r="M16" i="28" s="1"/>
  <c r="J101" i="28"/>
  <c r="J100" i="28" s="1"/>
  <c r="M17" i="28" s="1"/>
  <c r="G100" i="28"/>
  <c r="E38" i="87" l="1"/>
  <c r="E27" i="9" s="1"/>
  <c r="F38" i="87" l="1"/>
  <c r="BA52" i="9" l="1"/>
  <c r="I42" i="18" l="1"/>
  <c r="K42" i="18" l="1"/>
  <c r="K40" i="18"/>
  <c r="K49" i="18"/>
  <c r="K44" i="18"/>
  <c r="K43" i="18"/>
  <c r="K46" i="18"/>
  <c r="K39" i="18" l="1"/>
  <c r="K38" i="18" s="1"/>
  <c r="E38" i="18"/>
  <c r="E50" i="18" s="1"/>
  <c r="E51" i="18" s="1"/>
  <c r="E25" i="87" l="1"/>
  <c r="L81" i="28"/>
  <c r="L119" i="28" s="1"/>
  <c r="M81" i="28"/>
  <c r="M119" i="28" s="1"/>
  <c r="N81" i="28"/>
  <c r="N119" i="28" s="1"/>
  <c r="L95" i="28"/>
  <c r="L133" i="28" s="1"/>
  <c r="M95" i="28"/>
  <c r="M133" i="28" s="1"/>
  <c r="N95" i="28"/>
  <c r="N133" i="28" s="1"/>
  <c r="L92" i="28"/>
  <c r="L130" i="28" s="1"/>
  <c r="M92" i="28"/>
  <c r="M130" i="28" s="1"/>
  <c r="N92" i="28"/>
  <c r="N130" i="28" s="1"/>
  <c r="M63" i="28"/>
  <c r="L63" i="28"/>
  <c r="N63" i="28"/>
  <c r="L75" i="28"/>
  <c r="L113" i="28" s="1"/>
  <c r="N75" i="28"/>
  <c r="N113" i="28" s="1"/>
  <c r="M75" i="28"/>
  <c r="M113" i="28" s="1"/>
  <c r="L73" i="28"/>
  <c r="L111" i="28" s="1"/>
  <c r="M73" i="28"/>
  <c r="M111" i="28" s="1"/>
  <c r="N73" i="28"/>
  <c r="N111" i="28" s="1"/>
  <c r="L83" i="28"/>
  <c r="L121" i="28" s="1"/>
  <c r="N83" i="28"/>
  <c r="N121" i="28" s="1"/>
  <c r="M83" i="28"/>
  <c r="M121" i="28" s="1"/>
  <c r="L69" i="28"/>
  <c r="L107" i="28" s="1"/>
  <c r="N69" i="28"/>
  <c r="N107" i="28" s="1"/>
  <c r="M69" i="28"/>
  <c r="M107" i="28" s="1"/>
  <c r="L67" i="28"/>
  <c r="L105" i="28" s="1"/>
  <c r="M67" i="28"/>
  <c r="M105" i="28" s="1"/>
  <c r="N67" i="28"/>
  <c r="N105" i="28" s="1"/>
  <c r="N65" i="28"/>
  <c r="N103" i="28" s="1"/>
  <c r="M65" i="28"/>
  <c r="M103" i="28" s="1"/>
  <c r="L65" i="28"/>
  <c r="L103" i="28" s="1"/>
  <c r="L88" i="28"/>
  <c r="L126" i="28" s="1"/>
  <c r="N88" i="28"/>
  <c r="N126" i="28" s="1"/>
  <c r="M88" i="28"/>
  <c r="M126" i="28" s="1"/>
  <c r="L82" i="28"/>
  <c r="L120" i="28" s="1"/>
  <c r="N82" i="28"/>
  <c r="N120" i="28" s="1"/>
  <c r="M82" i="28"/>
  <c r="M120" i="28" s="1"/>
  <c r="L87" i="28"/>
  <c r="L125" i="28" s="1"/>
  <c r="N87" i="28"/>
  <c r="N125" i="28" s="1"/>
  <c r="M87" i="28"/>
  <c r="M125" i="28" s="1"/>
  <c r="L94" i="28"/>
  <c r="L132" i="28" s="1"/>
  <c r="N94" i="28"/>
  <c r="N132" i="28" s="1"/>
  <c r="M94" i="28"/>
  <c r="M132" i="28" s="1"/>
  <c r="L79" i="28"/>
  <c r="L117" i="28" s="1"/>
  <c r="M79" i="28"/>
  <c r="M117" i="28" s="1"/>
  <c r="N79" i="28"/>
  <c r="N117" i="28" s="1"/>
  <c r="L90" i="28"/>
  <c r="L128" i="28" s="1"/>
  <c r="N90" i="28"/>
  <c r="N128" i="28" s="1"/>
  <c r="M90" i="28"/>
  <c r="M128" i="28" s="1"/>
  <c r="L71" i="28"/>
  <c r="L109" i="28" s="1"/>
  <c r="M71" i="28"/>
  <c r="M109" i="28" s="1"/>
  <c r="N71" i="28"/>
  <c r="N109" i="28" s="1"/>
  <c r="L86" i="28"/>
  <c r="L124" i="28" s="1"/>
  <c r="M86" i="28"/>
  <c r="M124" i="28" s="1"/>
  <c r="N86" i="28"/>
  <c r="N124" i="28" s="1"/>
  <c r="L91" i="28"/>
  <c r="L129" i="28" s="1"/>
  <c r="M91" i="28"/>
  <c r="M129" i="28" s="1"/>
  <c r="N91" i="28"/>
  <c r="N129" i="28" s="1"/>
  <c r="L93" i="28"/>
  <c r="L131" i="28" s="1"/>
  <c r="M93" i="28"/>
  <c r="M131" i="28" s="1"/>
  <c r="N93" i="28"/>
  <c r="N131" i="28" s="1"/>
  <c r="N66" i="28"/>
  <c r="N104" i="28" s="1"/>
  <c r="L66" i="28"/>
  <c r="L104" i="28" s="1"/>
  <c r="M66" i="28"/>
  <c r="M104" i="28" s="1"/>
  <c r="L80" i="28"/>
  <c r="L118" i="28" s="1"/>
  <c r="N80" i="28"/>
  <c r="N118" i="28" s="1"/>
  <c r="M80" i="28"/>
  <c r="M118" i="28" s="1"/>
  <c r="L78" i="28"/>
  <c r="L116" i="28" s="1"/>
  <c r="N78" i="28"/>
  <c r="N116" i="28" s="1"/>
  <c r="M78" i="28"/>
  <c r="M116" i="28" s="1"/>
  <c r="L72" i="28"/>
  <c r="L110" i="28" s="1"/>
  <c r="M72" i="28"/>
  <c r="M110" i="28" s="1"/>
  <c r="N72" i="28"/>
  <c r="N110" i="28" s="1"/>
  <c r="L74" i="28"/>
  <c r="L112" i="28" s="1"/>
  <c r="M74" i="28"/>
  <c r="M112" i="28" s="1"/>
  <c r="N74" i="28"/>
  <c r="N112" i="28" s="1"/>
  <c r="N64" i="28"/>
  <c r="N102" i="28" s="1"/>
  <c r="M64" i="28"/>
  <c r="M102" i="28" s="1"/>
  <c r="L64" i="28"/>
  <c r="L102" i="28" s="1"/>
  <c r="L70" i="28"/>
  <c r="L108" i="28" s="1"/>
  <c r="N70" i="28"/>
  <c r="N108" i="28" s="1"/>
  <c r="M70" i="28"/>
  <c r="M108" i="28" s="1"/>
  <c r="L76" i="28"/>
  <c r="L114" i="28" s="1"/>
  <c r="M76" i="28"/>
  <c r="M114" i="28" s="1"/>
  <c r="N76" i="28"/>
  <c r="N114" i="28" s="1"/>
  <c r="L77" i="28"/>
  <c r="L115" i="28" s="1"/>
  <c r="M77" i="28"/>
  <c r="M115" i="28" s="1"/>
  <c r="N77" i="28"/>
  <c r="N115" i="28" s="1"/>
  <c r="L84" i="28"/>
  <c r="L122" i="28" s="1"/>
  <c r="N84" i="28"/>
  <c r="N122" i="28" s="1"/>
  <c r="M84" i="28"/>
  <c r="M122" i="28" s="1"/>
  <c r="L89" i="28"/>
  <c r="L127" i="28" s="1"/>
  <c r="M89" i="28"/>
  <c r="M127" i="28" s="1"/>
  <c r="N89" i="28"/>
  <c r="N127" i="28" s="1"/>
  <c r="L68" i="28"/>
  <c r="L106" i="28" s="1"/>
  <c r="M68" i="28"/>
  <c r="M106" i="28" s="1"/>
  <c r="N68" i="28"/>
  <c r="N106" i="28" s="1"/>
  <c r="L85" i="28"/>
  <c r="L123" i="28" s="1"/>
  <c r="N85" i="28"/>
  <c r="N123" i="28" s="1"/>
  <c r="M85" i="28"/>
  <c r="M123" i="28" s="1"/>
  <c r="M101" i="28" l="1"/>
  <c r="M100" i="28" s="1"/>
  <c r="M62" i="28"/>
  <c r="N101" i="28"/>
  <c r="N100" i="28" s="1"/>
  <c r="N62" i="28"/>
  <c r="L101" i="28"/>
  <c r="L100" i="28" s="1"/>
  <c r="L62" i="28"/>
  <c r="I46" i="18" l="1"/>
  <c r="I48" i="18"/>
  <c r="I49" i="18" l="1"/>
  <c r="I43" i="18"/>
  <c r="I40" i="18"/>
  <c r="I44" i="18" l="1"/>
  <c r="I38" i="18" s="1"/>
  <c r="E24" i="87" s="1"/>
  <c r="C38" i="18"/>
  <c r="C19" i="88" l="1"/>
  <c r="E19" i="88" s="1"/>
  <c r="E17" i="88" s="1"/>
  <c r="C50" i="18"/>
  <c r="C51" i="18" s="1"/>
  <c r="E23" i="9"/>
  <c r="P75" i="28" l="1"/>
  <c r="P113" i="28" s="1"/>
  <c r="O75" i="28"/>
  <c r="O113" i="28" s="1"/>
  <c r="Q75" i="28"/>
  <c r="Q113" i="28" s="1"/>
  <c r="P79" i="28"/>
  <c r="P117" i="28" s="1"/>
  <c r="Q79" i="28"/>
  <c r="Q117" i="28" s="1"/>
  <c r="O79" i="28"/>
  <c r="O117" i="28" s="1"/>
  <c r="O88" i="28"/>
  <c r="O126" i="28" s="1"/>
  <c r="Q88" i="28"/>
  <c r="Q126" i="28" s="1"/>
  <c r="P88" i="28"/>
  <c r="P126" i="28" s="1"/>
  <c r="Q92" i="28"/>
  <c r="Q130" i="28" s="1"/>
  <c r="O92" i="28"/>
  <c r="O130" i="28" s="1"/>
  <c r="P92" i="28"/>
  <c r="P130" i="28" s="1"/>
  <c r="P90" i="28"/>
  <c r="P128" i="28" s="1"/>
  <c r="O90" i="28"/>
  <c r="O128" i="28" s="1"/>
  <c r="Q90" i="28"/>
  <c r="Q128" i="28" s="1"/>
  <c r="Q94" i="28"/>
  <c r="Q132" i="28" s="1"/>
  <c r="P94" i="28"/>
  <c r="P132" i="28" s="1"/>
  <c r="O94" i="28"/>
  <c r="O132" i="28" s="1"/>
  <c r="O93" i="28"/>
  <c r="O131" i="28" s="1"/>
  <c r="P93" i="28"/>
  <c r="P131" i="28" s="1"/>
  <c r="Q93" i="28"/>
  <c r="Q131" i="28" s="1"/>
  <c r="Q77" i="28"/>
  <c r="Q115" i="28" s="1"/>
  <c r="O77" i="28"/>
  <c r="O115" i="28" s="1"/>
  <c r="P77" i="28"/>
  <c r="P115" i="28" s="1"/>
  <c r="P80" i="28"/>
  <c r="P118" i="28" s="1"/>
  <c r="O80" i="28"/>
  <c r="O118" i="28" s="1"/>
  <c r="Q80" i="28"/>
  <c r="Q118" i="28" s="1"/>
  <c r="Q71" i="28"/>
  <c r="Q109" i="28" s="1"/>
  <c r="O71" i="28"/>
  <c r="O109" i="28" s="1"/>
  <c r="P71" i="28"/>
  <c r="P109" i="28" s="1"/>
  <c r="P72" i="28"/>
  <c r="P110" i="28" s="1"/>
  <c r="Q72" i="28"/>
  <c r="Q110" i="28" s="1"/>
  <c r="O72" i="28"/>
  <c r="O110" i="28" s="1"/>
  <c r="O84" i="28"/>
  <c r="O122" i="28" s="1"/>
  <c r="P84" i="28"/>
  <c r="P122" i="28" s="1"/>
  <c r="Q84" i="28"/>
  <c r="Q122" i="28" s="1"/>
  <c r="P82" i="28"/>
  <c r="P120" i="28" s="1"/>
  <c r="O82" i="28"/>
  <c r="O120" i="28" s="1"/>
  <c r="Q82" i="28"/>
  <c r="Q120" i="28" s="1"/>
  <c r="Q86" i="28"/>
  <c r="Q124" i="28" s="1"/>
  <c r="P86" i="28"/>
  <c r="P124" i="28" s="1"/>
  <c r="O86" i="28"/>
  <c r="O124" i="28" s="1"/>
  <c r="P89" i="28"/>
  <c r="P127" i="28" s="1"/>
  <c r="Q89" i="28"/>
  <c r="Q127" i="28" s="1"/>
  <c r="O89" i="28"/>
  <c r="O127" i="28" s="1"/>
  <c r="O73" i="28"/>
  <c r="O111" i="28" s="1"/>
  <c r="Q73" i="28"/>
  <c r="Q111" i="28" s="1"/>
  <c r="P73" i="28"/>
  <c r="P111" i="28" s="1"/>
  <c r="P64" i="28"/>
  <c r="P102" i="28" s="1"/>
  <c r="O64" i="28"/>
  <c r="O102" i="28" s="1"/>
  <c r="Q64" i="28"/>
  <c r="Q102" i="28" s="1"/>
  <c r="O91" i="28"/>
  <c r="O129" i="28" s="1"/>
  <c r="P91" i="28"/>
  <c r="P129" i="28" s="1"/>
  <c r="Q91" i="28"/>
  <c r="Q129" i="28" s="1"/>
  <c r="Q87" i="28"/>
  <c r="Q125" i="28" s="1"/>
  <c r="O87" i="28"/>
  <c r="O125" i="28" s="1"/>
  <c r="P87" i="28"/>
  <c r="P125" i="28" s="1"/>
  <c r="P76" i="28"/>
  <c r="P114" i="28" s="1"/>
  <c r="O76" i="28"/>
  <c r="O114" i="28" s="1"/>
  <c r="Q76" i="28"/>
  <c r="Q114" i="28" s="1"/>
  <c r="O74" i="28"/>
  <c r="O112" i="28" s="1"/>
  <c r="P74" i="28"/>
  <c r="P112" i="28" s="1"/>
  <c r="Q74" i="28"/>
  <c r="Q112" i="28" s="1"/>
  <c r="O78" i="28"/>
  <c r="O116" i="28" s="1"/>
  <c r="P78" i="28"/>
  <c r="P116" i="28" s="1"/>
  <c r="Q78" i="28"/>
  <c r="Q116" i="28" s="1"/>
  <c r="Q85" i="28"/>
  <c r="Q123" i="28" s="1"/>
  <c r="P85" i="28"/>
  <c r="P123" i="28" s="1"/>
  <c r="O85" i="28"/>
  <c r="O123" i="28" s="1"/>
  <c r="P69" i="28"/>
  <c r="P107" i="28" s="1"/>
  <c r="Q69" i="28"/>
  <c r="Q107" i="28" s="1"/>
  <c r="O69" i="28"/>
  <c r="O107" i="28" s="1"/>
  <c r="O67" i="28"/>
  <c r="O105" i="28" s="1"/>
  <c r="P67" i="28"/>
  <c r="P105" i="28" s="1"/>
  <c r="Q67" i="28"/>
  <c r="Q105" i="28" s="1"/>
  <c r="Q63" i="28"/>
  <c r="O63" i="28"/>
  <c r="P63" i="28"/>
  <c r="P83" i="28"/>
  <c r="P121" i="28" s="1"/>
  <c r="O83" i="28"/>
  <c r="O121" i="28" s="1"/>
  <c r="Q83" i="28"/>
  <c r="Q121" i="28" s="1"/>
  <c r="Q95" i="28"/>
  <c r="Q133" i="28" s="1"/>
  <c r="P95" i="28"/>
  <c r="P133" i="28" s="1"/>
  <c r="O95" i="28"/>
  <c r="O133" i="28" s="1"/>
  <c r="O68" i="28"/>
  <c r="O106" i="28" s="1"/>
  <c r="P68" i="28"/>
  <c r="P106" i="28" s="1"/>
  <c r="Q68" i="28"/>
  <c r="Q106" i="28" s="1"/>
  <c r="O66" i="28"/>
  <c r="O104" i="28" s="1"/>
  <c r="P66" i="28"/>
  <c r="P104" i="28" s="1"/>
  <c r="Q66" i="28"/>
  <c r="Q104" i="28" s="1"/>
  <c r="P70" i="28"/>
  <c r="P108" i="28" s="1"/>
  <c r="Q70" i="28"/>
  <c r="Q108" i="28" s="1"/>
  <c r="O70" i="28"/>
  <c r="O108" i="28" s="1"/>
  <c r="P81" i="28"/>
  <c r="P119" i="28" s="1"/>
  <c r="Q81" i="28"/>
  <c r="Q119" i="28" s="1"/>
  <c r="O81" i="28"/>
  <c r="O119" i="28" s="1"/>
  <c r="Q65" i="28"/>
  <c r="Q103" i="28" s="1"/>
  <c r="O65" i="28"/>
  <c r="O103" i="28" s="1"/>
  <c r="P65" i="28"/>
  <c r="P103" i="28" s="1"/>
  <c r="F25" i="87"/>
  <c r="F24" i="87"/>
  <c r="P101" i="28" l="1"/>
  <c r="P100" i="28" s="1"/>
  <c r="N16" i="28" s="1"/>
  <c r="P62" i="28"/>
  <c r="I16" i="28" s="1"/>
  <c r="O101" i="28"/>
  <c r="O100" i="28" s="1"/>
  <c r="N15" i="28" s="1"/>
  <c r="O62" i="28"/>
  <c r="I15" i="28" s="1"/>
  <c r="Q101" i="28"/>
  <c r="Q100" i="28" s="1"/>
  <c r="N17" i="28" s="1"/>
  <c r="Q62" i="28"/>
  <c r="I17" i="28" s="1"/>
  <c r="AW48" i="9"/>
  <c r="AX48" i="9" l="1"/>
  <c r="AY48" i="9" s="1"/>
  <c r="AZ48" i="9" s="1"/>
  <c r="BA48" i="9" s="1"/>
  <c r="J17" i="28"/>
  <c r="J16" i="28"/>
  <c r="O17" i="28"/>
  <c r="O16" i="28"/>
  <c r="J14" i="28" l="1"/>
  <c r="E28" i="87" s="1"/>
  <c r="O14" i="28" l="1"/>
  <c r="E32" i="87" s="1"/>
  <c r="F32" i="87" l="1"/>
  <c r="E25" i="9"/>
  <c r="AY50" i="9" s="1"/>
  <c r="AZ50" i="9" s="1"/>
  <c r="BA50" i="9" s="1"/>
  <c r="F28" i="87"/>
  <c r="F29" i="87"/>
  <c r="F30" i="87"/>
  <c r="F31" i="87"/>
  <c r="AX49" i="9" l="1"/>
  <c r="AY49" i="9" s="1"/>
  <c r="AZ49" i="9" s="1"/>
  <c r="BA49" i="9" s="1"/>
  <c r="L208" i="94" l="1"/>
  <c r="L207" i="94"/>
  <c r="L206" i="94"/>
  <c r="L205" i="94"/>
  <c r="L204" i="94"/>
  <c r="L202" i="94" l="1"/>
  <c r="L18" i="94"/>
  <c r="E20" i="87" l="1"/>
  <c r="E35" i="87" s="1"/>
  <c r="E22" i="9" l="1"/>
  <c r="AV47" i="9" s="1"/>
  <c r="F17" i="87"/>
  <c r="F20" i="87"/>
  <c r="F21" i="87"/>
  <c r="F18" i="87"/>
  <c r="AW47" i="9" l="1"/>
  <c r="AX47" i="9" s="1"/>
  <c r="AY47" i="9" s="1"/>
  <c r="AZ47" i="9" s="1"/>
  <c r="BA47" i="9" s="1"/>
  <c r="F35" i="87"/>
  <c r="E26" i="9"/>
  <c r="E21" i="9" s="1"/>
  <c r="BC54" i="9" l="1"/>
  <c r="BB52" i="9" s="1"/>
  <c r="AZ51" i="9"/>
  <c r="BB53" i="9" l="1"/>
  <c r="BA51" i="9"/>
  <c r="H73" i="94" l="1"/>
  <c r="H18" i="94" s="1"/>
  <c r="J70" i="94"/>
  <c r="H64" i="94"/>
  <c r="L15" i="94"/>
  <c r="M15" i="94" s="1"/>
  <c r="I73" i="94"/>
  <c r="I64" i="94"/>
  <c r="I18" i="94"/>
  <c r="E54" i="91" l="1"/>
  <c r="E44" i="91" s="1"/>
  <c r="H15" i="94"/>
  <c r="I15" i="94" s="1"/>
  <c r="E17" i="91" l="1"/>
  <c r="E15" i="91" s="1"/>
  <c r="F15" i="91" s="1"/>
  <c r="E19" i="9"/>
  <c r="E16" i="9" s="1"/>
  <c r="E29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Caroline Wong</author>
  </authors>
  <commentList>
    <comment ref="G16" authorId="0" shapeId="0" xr:uid="{00000000-0006-0000-0600-000001000000}">
      <text>
        <r>
          <rPr>
            <sz val="9"/>
            <color indexed="81"/>
            <rFont val="Tahoma"/>
            <family val="2"/>
          </rPr>
          <t>Please input number of outstanding receivables for the corresponding risk factor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  <author>Caroline Wong</author>
  </authors>
  <commentList>
    <comment ref="J22" authorId="0" shapeId="0" xr:uid="{00000000-0006-0000-0800-000001000000}">
      <text>
        <r>
          <rPr>
            <sz val="9"/>
            <color indexed="81"/>
            <rFont val="Tahoma"/>
            <family val="2"/>
          </rPr>
          <t>(Cash-flows including coupon / interest payments and redemption amounts)</t>
        </r>
      </text>
    </comment>
    <comment ref="C23" authorId="1" shapeId="0" xr:uid="{00000000-0006-0000-0800-000002000000}">
      <text>
        <r>
          <rPr>
            <sz val="9"/>
            <color indexed="81"/>
            <rFont val="Tahoma"/>
            <family val="2"/>
          </rPr>
          <t>Kindly refer and update for the Peso spot rates published by the IC at each Reporting Date</t>
        </r>
      </text>
    </comment>
    <comment ref="J60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(Cash-flows including coupon/interest payments and redemption amounts)</t>
        </r>
      </text>
    </comment>
    <comment ref="J98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(Cash-flows including coupon/interest payments and redemption amounts)</t>
        </r>
      </text>
    </comment>
  </commentList>
</comments>
</file>

<file path=xl/sharedStrings.xml><?xml version="1.0" encoding="utf-8"?>
<sst xmlns="http://schemas.openxmlformats.org/spreadsheetml/2006/main" count="858" uniqueCount="528">
  <si>
    <t>Total Assets</t>
  </si>
  <si>
    <t>Insurance Provision - Non Life</t>
  </si>
  <si>
    <t>Engineering</t>
  </si>
  <si>
    <t>Personal Accident</t>
  </si>
  <si>
    <t>Unrated</t>
  </si>
  <si>
    <t>Insurance Liability Risk Capital Charge</t>
  </si>
  <si>
    <t>Premium Liability</t>
  </si>
  <si>
    <t>Operational Risk</t>
  </si>
  <si>
    <t>Credit Risk Capital Charge</t>
  </si>
  <si>
    <t>Operational Risk Capital Charge</t>
  </si>
  <si>
    <t>Component of Market Risk Capital Charge</t>
  </si>
  <si>
    <t>Total Available Capital (TAC)</t>
  </si>
  <si>
    <t>Tier 1 Capital</t>
  </si>
  <si>
    <t>Tier 2 Capital</t>
  </si>
  <si>
    <t>Deductions</t>
  </si>
  <si>
    <t>Irredeemable subordinated debts</t>
  </si>
  <si>
    <t>Others</t>
  </si>
  <si>
    <t>Claim Liability</t>
  </si>
  <si>
    <t>Government Securities</t>
  </si>
  <si>
    <t>Corporate Bonds</t>
  </si>
  <si>
    <t>Other Outgo</t>
  </si>
  <si>
    <t>Other income</t>
  </si>
  <si>
    <t>Total</t>
  </si>
  <si>
    <t>Relative Change
Shock up(t)</t>
  </si>
  <si>
    <t>Relative Change
Shock down(t)</t>
  </si>
  <si>
    <t>Residual term to maturity</t>
  </si>
  <si>
    <t>Stress Up Value</t>
  </si>
  <si>
    <t>Stress Down Value</t>
  </si>
  <si>
    <t>Asset</t>
  </si>
  <si>
    <t>Base</t>
  </si>
  <si>
    <t>Increasing</t>
  </si>
  <si>
    <t>Decreasing</t>
  </si>
  <si>
    <t>Scenario</t>
  </si>
  <si>
    <t>Year</t>
  </si>
  <si>
    <t>Liability Cashflow</t>
  </si>
  <si>
    <t>Component of Credit Risk Capital Charge</t>
  </si>
  <si>
    <t>Debt Instruments &amp; Bonds</t>
  </si>
  <si>
    <t>Other</t>
  </si>
  <si>
    <t>Component of Insurance Risk Capital Charge</t>
  </si>
  <si>
    <t>Other Credit Risk bearing securities (if any)</t>
  </si>
  <si>
    <t>1 &lt; X ≤ 2 years</t>
  </si>
  <si>
    <t>2 &lt; X ≤ 3 years</t>
  </si>
  <si>
    <t>3 &lt; X ≤ 4 years</t>
  </si>
  <si>
    <t>4 &lt; X ≤ 5 years</t>
  </si>
  <si>
    <t>5 &lt; X ≤ 6 years</t>
  </si>
  <si>
    <t>6 &lt; X ≤ 7 years</t>
  </si>
  <si>
    <t>7 &lt; X ≤ 8 years</t>
  </si>
  <si>
    <t>8 &lt; X ≤ 9 years</t>
  </si>
  <si>
    <t>9 &lt; X ≤ 10 years</t>
  </si>
  <si>
    <t>10 &lt; X ≤ 11 years</t>
  </si>
  <si>
    <t>11 &lt; X ≤ 12 years</t>
  </si>
  <si>
    <t>12 &lt; X ≤ 13 years</t>
  </si>
  <si>
    <t>13 &lt; X ≤ 14 years</t>
  </si>
  <si>
    <t>14 &lt; X ≤ 15 years</t>
  </si>
  <si>
    <t>15 &lt; X ≤ 16 years</t>
  </si>
  <si>
    <t>16 &lt; X ≤ 17 years</t>
  </si>
  <si>
    <t>17 &lt; X ≤ 18 years</t>
  </si>
  <si>
    <t>18 &lt; X ≤ 19 years</t>
  </si>
  <si>
    <t>19 &lt; X ≤ 20 years</t>
  </si>
  <si>
    <t>20 &lt; X ≤ 21 years</t>
  </si>
  <si>
    <t>21 &lt; X ≤ 22 years</t>
  </si>
  <si>
    <t>22 &lt; X ≤ 23 years</t>
  </si>
  <si>
    <t>23 &lt; X ≤ 24 years</t>
  </si>
  <si>
    <t>24 &lt; X ≤ 25 years</t>
  </si>
  <si>
    <t>25 &lt; X ≤ 26 years</t>
  </si>
  <si>
    <t>26 &lt; X ≤ 27 years</t>
  </si>
  <si>
    <t>27 &lt; X ≤ 28 years</t>
  </si>
  <si>
    <t>28 &lt; X ≤ 29 years</t>
  </si>
  <si>
    <t>X &gt; 29 years</t>
  </si>
  <si>
    <t>Gross Claim Liability</t>
  </si>
  <si>
    <t>Reinsurance</t>
  </si>
  <si>
    <t>Average Corporate Bond Spread (basis points)</t>
  </si>
  <si>
    <t>Liabilities (Net)</t>
  </si>
  <si>
    <t>Surplus (Net)</t>
  </si>
  <si>
    <t>Net Claim Liability</t>
  </si>
  <si>
    <t>Description</t>
  </si>
  <si>
    <t>Value</t>
  </si>
  <si>
    <t>Risk charge %</t>
  </si>
  <si>
    <t>Admitted</t>
  </si>
  <si>
    <t>Asset Breakdown</t>
  </si>
  <si>
    <t>TT</t>
  </si>
  <si>
    <t>Up to quota</t>
  </si>
  <si>
    <t>Above quota</t>
  </si>
  <si>
    <t>Risk charge</t>
  </si>
  <si>
    <t>No</t>
  </si>
  <si>
    <t>Cash on hand</t>
  </si>
  <si>
    <t>Maturity
t (years)</t>
  </si>
  <si>
    <t>Present Value (Net CL)</t>
  </si>
  <si>
    <t>Base Value</t>
  </si>
  <si>
    <t>Interest Rate Risk Charge</t>
  </si>
  <si>
    <t>Credit Spread Risk Charge</t>
  </si>
  <si>
    <t>Currency risk</t>
  </si>
  <si>
    <t>Interest rate risk</t>
  </si>
  <si>
    <t>Equity risk</t>
  </si>
  <si>
    <t>Property risk</t>
  </si>
  <si>
    <t>Catastrophe Risk Capital Charge</t>
  </si>
  <si>
    <t>Catastrophe Risk</t>
  </si>
  <si>
    <t>Asset Default Risk</t>
  </si>
  <si>
    <t>Counterparty Risk</t>
  </si>
  <si>
    <t>Amounts Receivables</t>
  </si>
  <si>
    <t>Component of Operational Risk Capital Charge</t>
  </si>
  <si>
    <t>Component of Catastrophe Risk Capital Charge</t>
  </si>
  <si>
    <t>EQ</t>
  </si>
  <si>
    <t>Key</t>
  </si>
  <si>
    <t>Please use the yellow boxes for numerical input</t>
  </si>
  <si>
    <t>Credit spread risk</t>
  </si>
  <si>
    <t>Parameter</t>
  </si>
  <si>
    <t>DB</t>
  </si>
  <si>
    <t>O</t>
  </si>
  <si>
    <t>P</t>
  </si>
  <si>
    <t>Revenue reserves</t>
  </si>
  <si>
    <t>Subordinated term debts</t>
  </si>
  <si>
    <t>Shock 
Up %</t>
  </si>
  <si>
    <t>Shock 
Down %</t>
  </si>
  <si>
    <t>Determination of the credit risk capital charges</t>
  </si>
  <si>
    <t>RBC2</t>
  </si>
  <si>
    <t>RBC2 framework</t>
  </si>
  <si>
    <t>Capital Adequacy</t>
  </si>
  <si>
    <t>Tab name</t>
  </si>
  <si>
    <t>Input_Capital</t>
  </si>
  <si>
    <t>Additional data / input required</t>
  </si>
  <si>
    <t>Input_Asset</t>
  </si>
  <si>
    <t>Input_Liability</t>
  </si>
  <si>
    <t>Input_Operational</t>
  </si>
  <si>
    <t>Input_Catastrophe</t>
  </si>
  <si>
    <t xml:space="preserve">Data Inputs &amp; </t>
  </si>
  <si>
    <t>Calculation of Risk Charges on Balance Sheet Assets</t>
  </si>
  <si>
    <t>Calculation of Insurance Risk Charges and Summary of Insurance Liabilities</t>
  </si>
  <si>
    <t>Calculation of Interest Risk and Credit Spread Risk Charges</t>
  </si>
  <si>
    <t>Calculation of Interest Rate Risk Charge</t>
  </si>
  <si>
    <t>Calculation of Credit Spread Risk Charge</t>
  </si>
  <si>
    <t>Cover</t>
  </si>
  <si>
    <t>Instructions for filling in the template</t>
  </si>
  <si>
    <t>Data in these cells are linked from other sources within the template.  No action is required.</t>
  </si>
  <si>
    <t>Company</t>
  </si>
  <si>
    <t>As of the date</t>
  </si>
  <si>
    <t>Not Available / Applicable</t>
  </si>
  <si>
    <t>Example</t>
  </si>
  <si>
    <t>R1</t>
  </si>
  <si>
    <t>R2</t>
  </si>
  <si>
    <t>R3</t>
  </si>
  <si>
    <t>R4</t>
  </si>
  <si>
    <t>R5</t>
  </si>
  <si>
    <t>For Calculation</t>
  </si>
  <si>
    <t>RBC2 Framework</t>
  </si>
  <si>
    <t>RI</t>
  </si>
  <si>
    <t>Non-Admitted</t>
  </si>
  <si>
    <t>AR</t>
  </si>
  <si>
    <t xml:space="preserve">Total Exposure </t>
  </si>
  <si>
    <t>Determination of the interest rate risk capital charges (shock up / shock down)</t>
  </si>
  <si>
    <t>Adjusted Yield Curve</t>
  </si>
  <si>
    <t>Data is linked from other sources within the template</t>
  </si>
  <si>
    <t xml:space="preserve">Calculation of Risk </t>
  </si>
  <si>
    <t>Charges</t>
  </si>
  <si>
    <t xml:space="preserve">Template no: </t>
  </si>
  <si>
    <t>Company:</t>
  </si>
  <si>
    <t>As of the date:</t>
  </si>
  <si>
    <t>Release date:</t>
  </si>
  <si>
    <t>Retained Earnings / Home office account</t>
  </si>
  <si>
    <t>Sum of Main Asset Class</t>
  </si>
  <si>
    <t>Local currency</t>
  </si>
  <si>
    <t>Foreign currency</t>
  </si>
  <si>
    <t>Long term commercial bonds</t>
  </si>
  <si>
    <t>Short term commercial bonds</t>
  </si>
  <si>
    <t>Common stocks</t>
  </si>
  <si>
    <t>Preferred stocks</t>
  </si>
  <si>
    <t>Mutual funds and unit investment trust</t>
  </si>
  <si>
    <t>2.6.1</t>
  </si>
  <si>
    <t>2.6.2</t>
  </si>
  <si>
    <t>Purchase money mortgages</t>
  </si>
  <si>
    <t>Property and equipment</t>
  </si>
  <si>
    <t>Investment Property</t>
  </si>
  <si>
    <t>IT equipment (including electronic data processing system)</t>
  </si>
  <si>
    <t>Transportation equipment</t>
  </si>
  <si>
    <t>11.1.1</t>
  </si>
  <si>
    <t>11.1.2</t>
  </si>
  <si>
    <t>11.2.1</t>
  </si>
  <si>
    <t>11.2.2</t>
  </si>
  <si>
    <t>11.3.1</t>
  </si>
  <si>
    <t>11.3.2</t>
  </si>
  <si>
    <t>12.1.1</t>
  </si>
  <si>
    <t>12.1.2</t>
  </si>
  <si>
    <t>12.2.1</t>
  </si>
  <si>
    <t>12.2.2</t>
  </si>
  <si>
    <t>Security fund contribution</t>
  </si>
  <si>
    <t>Cell colour</t>
  </si>
  <si>
    <t>Instruction</t>
  </si>
  <si>
    <t>Data in these cells are assumptions made in relation to the calculation of the risk charges</t>
  </si>
  <si>
    <t>3 &lt; X ≤ 6 months</t>
  </si>
  <si>
    <t>In good standing</t>
  </si>
  <si>
    <t>6 &lt; X ≤ 9 months</t>
  </si>
  <si>
    <t>9 &lt; X ≤ 12 months</t>
  </si>
  <si>
    <t>Marine Cargo</t>
  </si>
  <si>
    <t>Marine Hull</t>
  </si>
  <si>
    <t>Aviation</t>
  </si>
  <si>
    <t>Motor CMVL</t>
  </si>
  <si>
    <t>Motor OD (Other than CMVL)</t>
  </si>
  <si>
    <t>11.2.1.1</t>
  </si>
  <si>
    <t>11.2.1.2</t>
  </si>
  <si>
    <t>11.2.1.3</t>
  </si>
  <si>
    <t>11.2.1.4</t>
  </si>
  <si>
    <t>11.2.1.5</t>
  </si>
  <si>
    <t>11.2.2.1</t>
  </si>
  <si>
    <t>11.2.2.2</t>
  </si>
  <si>
    <t>11.2.2.3</t>
  </si>
  <si>
    <t>11.2.2.4</t>
  </si>
  <si>
    <t>11.2.2.5</t>
  </si>
  <si>
    <t>11.2.1.6</t>
  </si>
  <si>
    <t>Fire and Allied Perils</t>
  </si>
  <si>
    <t>Bonds/Suretyship</t>
  </si>
  <si>
    <t>Capital Stock</t>
  </si>
  <si>
    <t>Capital Stock Subscribed</t>
  </si>
  <si>
    <t>Capital Paid In Excess of Par</t>
  </si>
  <si>
    <t>Cost of Share-Based Payment</t>
  </si>
  <si>
    <t>Reserve Accounts</t>
  </si>
  <si>
    <t>Reserve for AFS Securities</t>
  </si>
  <si>
    <t>Reserve for Cash Flow Hedge</t>
  </si>
  <si>
    <t>Reserve for Hedge of a Net Investment in Foreign Operation</t>
  </si>
  <si>
    <t>Cumulative Foreign Currency Translation</t>
  </si>
  <si>
    <t>Treasury Stock</t>
  </si>
  <si>
    <t>Reserve for Appraisal Increment - Property and Equipment</t>
  </si>
  <si>
    <t>Remeasurement Gains (Losses) on Retirement Pension Asset (Obligation)</t>
  </si>
  <si>
    <t>Cumulative irredeemable preferred stocks</t>
  </si>
  <si>
    <t>Mandatory capital loan stock and other similar capital instruments</t>
  </si>
  <si>
    <t xml:space="preserve">** All  items which are already deducted from Capital are not subject to any risk charge except for operational risk capital charge. </t>
  </si>
  <si>
    <t>Market Value of Assets</t>
  </si>
  <si>
    <t>3.6.1</t>
  </si>
  <si>
    <t>3.6.2</t>
  </si>
  <si>
    <t>Premium due and uncollected</t>
  </si>
  <si>
    <t>For less than 3 months</t>
  </si>
  <si>
    <t>For more than 3 but less than 6 months</t>
  </si>
  <si>
    <t>For more than 6 but less than 9 months</t>
  </si>
  <si>
    <t>For more than 9 but less than 12 months</t>
  </si>
  <si>
    <t>Due from Ceding Companies (Treaty &amp; Facultative)</t>
  </si>
  <si>
    <t>Amounts Recoverable from Reinsurers (Paid &amp; Unpaid Losses, Treaty &amp; Facultative)</t>
  </si>
  <si>
    <t>Debt securities - Government (including allowance for impairment losses, if any)</t>
  </si>
  <si>
    <t>Debt securities - Private (including allowance for impairment losses, if any)</t>
  </si>
  <si>
    <t>Equity securities (including allowance for impairment losses, if any)</t>
  </si>
  <si>
    <t>Listed</t>
  </si>
  <si>
    <t>Unlisted</t>
  </si>
  <si>
    <t>Real Estate Investment trust</t>
  </si>
  <si>
    <t>Real Estate Mortgage Loans</t>
  </si>
  <si>
    <t>Collateral, Guaranteed, and Other Loans (including Housing Loans, Car Loans, Low Cost Housing and Salary Loans)</t>
  </si>
  <si>
    <t>Notes Receivable, Sales Contract Receivables, Other Loan Receivables</t>
  </si>
  <si>
    <t>Unquoted Debt Securities</t>
  </si>
  <si>
    <t>Accrued Dividends Receivable - Equity securities</t>
  </si>
  <si>
    <t>Investments in Subsidiaries, Associates and Joint Ventures</t>
  </si>
  <si>
    <t>Land, Building and Building Improvements (including accumulated depreciation, revaluation increment and accumulated impairment losses)</t>
  </si>
  <si>
    <t>Occupied</t>
  </si>
  <si>
    <t>Acquired in satisfaction of debt / Foreclosed</t>
  </si>
  <si>
    <t>Leasehold Improvements</t>
  </si>
  <si>
    <t>Non-current Assets Held for Sale</t>
  </si>
  <si>
    <t>Subscription Receivable</t>
  </si>
  <si>
    <t>Pension asset</t>
  </si>
  <si>
    <t>Derivative assets held for hedging</t>
  </si>
  <si>
    <t>Deferred tax assets</t>
  </si>
  <si>
    <t xml:space="preserve">Other assets </t>
  </si>
  <si>
    <t>Advances to officers, employees, agents etc. (other than policy loans)</t>
  </si>
  <si>
    <t>Loss Reserve Withheld by Ceding Companies (Treaty &amp; Facultative)</t>
  </si>
  <si>
    <t>Other Reinsurance Accounts Receivable</t>
  </si>
  <si>
    <t>Surety Losses Recoverable</t>
  </si>
  <si>
    <t>11.2.1.6.1</t>
  </si>
  <si>
    <t>11.2.1.6.2</t>
  </si>
  <si>
    <t>11.3.2.1</t>
  </si>
  <si>
    <t>11.3.2.2</t>
  </si>
  <si>
    <t>Net Unexpired Risk Reserve</t>
  </si>
  <si>
    <t>Asset Cashflow (include all fixed interest income asset cashflow)</t>
  </si>
  <si>
    <t>Gross Unexpired Risk Reserve</t>
  </si>
  <si>
    <t>Input_ALM</t>
  </si>
  <si>
    <t>Discounted</t>
  </si>
  <si>
    <t>Medical and Health</t>
  </si>
  <si>
    <t>Input_Currency</t>
  </si>
  <si>
    <t>Calculation of Currency Risk Charge</t>
  </si>
  <si>
    <r>
      <t xml:space="preserve">Undiscounted 
</t>
    </r>
    <r>
      <rPr>
        <b/>
        <sz val="11"/>
        <color rgb="FFFF0000"/>
        <rFont val="Calibri"/>
        <family val="2"/>
      </rPr>
      <t>(Required)</t>
    </r>
  </si>
  <si>
    <t>Time Deposit</t>
  </si>
  <si>
    <t>Currency</t>
  </si>
  <si>
    <t>Foreign exchange risk charge</t>
  </si>
  <si>
    <t>Value of Assets
(A)</t>
  </si>
  <si>
    <t>Value of Liabilities
(B)</t>
  </si>
  <si>
    <t>Net Exposure
(A) - (B)</t>
  </si>
  <si>
    <t>Currency risk charge (upside)</t>
  </si>
  <si>
    <t>Currency risk charge (downside)</t>
  </si>
  <si>
    <t>Positive or Negative Exposure</t>
  </si>
  <si>
    <t>0 &lt; X ≤ 3 months</t>
  </si>
  <si>
    <r>
      <t xml:space="preserve">Net Claim Liability </t>
    </r>
    <r>
      <rPr>
        <b/>
        <sz val="11"/>
        <color rgb="FFFF0000"/>
        <rFont val="Calibri"/>
        <family val="2"/>
      </rPr>
      <t>(Required)</t>
    </r>
  </si>
  <si>
    <t>(Please input value of foreign assets and liabilities in PHP at valuation date)</t>
  </si>
  <si>
    <t>For more than 12 but less than 15 months</t>
  </si>
  <si>
    <t>For more than 15 but less than 18 months</t>
  </si>
  <si>
    <t>For more than 18 months</t>
  </si>
  <si>
    <t xml:space="preserve"> Funds Held By Ceding Companies</t>
  </si>
  <si>
    <t>In Good Standing</t>
  </si>
  <si>
    <t>Policy loans</t>
  </si>
  <si>
    <t>Unearned Interest Income</t>
  </si>
  <si>
    <t>Segregated Fund Assets</t>
  </si>
  <si>
    <t>Receivable from Life Insurance Pools</t>
  </si>
  <si>
    <t>11.2.2.6</t>
  </si>
  <si>
    <t>11.2.2.6.1</t>
  </si>
  <si>
    <t>11.2.2.6.2</t>
  </si>
  <si>
    <t>Aging Intervals</t>
  </si>
  <si>
    <t>Eg. EUR, AUS Dollar</t>
  </si>
  <si>
    <t>US Dollar</t>
  </si>
  <si>
    <t>Japanese Yen</t>
  </si>
  <si>
    <t>Total Gross Written Premium</t>
  </si>
  <si>
    <t>Total Policy Liability</t>
  </si>
  <si>
    <t>Deferred acquisition costs</t>
  </si>
  <si>
    <t>Deferred reinsurance premiums</t>
  </si>
  <si>
    <t>11.3.1.1</t>
  </si>
  <si>
    <t>11.3.1.2</t>
  </si>
  <si>
    <t>Earthquake</t>
  </si>
  <si>
    <t>Windstorm</t>
  </si>
  <si>
    <t>Reporting date:</t>
  </si>
  <si>
    <t>Amount</t>
  </si>
  <si>
    <t>Minimum Statutory CAR</t>
  </si>
  <si>
    <t>Data for Chart</t>
  </si>
  <si>
    <t>Total Capital Required</t>
  </si>
  <si>
    <t>Div benefit</t>
  </si>
  <si>
    <t xml:space="preserve">No. of outstanding </t>
  </si>
  <si>
    <t>Risk factor by number of outstanding receivables</t>
  </si>
  <si>
    <t>(Please input Company Name for identification purposes)</t>
  </si>
  <si>
    <t>Perils</t>
  </si>
  <si>
    <t>Insurance-related &amp; IC-regulated</t>
  </si>
  <si>
    <t>Calculation of Operational Risk Charge</t>
  </si>
  <si>
    <t>Calculation of Catastrophe Risk Charge</t>
  </si>
  <si>
    <t>Excess Capital from subsidiaries, associates and joint ventures</t>
  </si>
  <si>
    <t>Change in  Reserve Estimates due to change in interest rate assumption</t>
  </si>
  <si>
    <t>Investments in subsidiaries, associates and joint ventures (Insurance related and IC regulated)</t>
  </si>
  <si>
    <t xml:space="preserve">AAA to AA-  </t>
  </si>
  <si>
    <t xml:space="preserve">A+ to A-  </t>
  </si>
  <si>
    <t xml:space="preserve">BBB+ to BBB-  </t>
  </si>
  <si>
    <t xml:space="preserve">BB+ to B-  </t>
  </si>
  <si>
    <t xml:space="preserve">CCC or worse  </t>
  </si>
  <si>
    <t>8.6.1</t>
  </si>
  <si>
    <t>8.6.2</t>
  </si>
  <si>
    <t>9.6.1</t>
  </si>
  <si>
    <t>9.6.2</t>
  </si>
  <si>
    <t>11.4.1</t>
  </si>
  <si>
    <t>11.4.1.1</t>
  </si>
  <si>
    <t>11.4.1.2</t>
  </si>
  <si>
    <t>11.4.2</t>
  </si>
  <si>
    <t>Money market instruments, Cash</t>
  </si>
  <si>
    <t>11.4.3</t>
  </si>
  <si>
    <t>Debt securities</t>
  </si>
  <si>
    <t>11.4.3.1</t>
  </si>
  <si>
    <t>Investment grade</t>
  </si>
  <si>
    <t>11.4.3.2</t>
  </si>
  <si>
    <t>Below Investment grade</t>
  </si>
  <si>
    <t>11.4.4</t>
  </si>
  <si>
    <t xml:space="preserve">A+ to A- </t>
  </si>
  <si>
    <t xml:space="preserve">CCC or worse </t>
  </si>
  <si>
    <t>CAR</t>
  </si>
  <si>
    <t>RBC Requirement</t>
  </si>
  <si>
    <t>Components of Risk-based</t>
  </si>
  <si>
    <t>Capital Required (RCR)</t>
  </si>
  <si>
    <t>Proportion of</t>
  </si>
  <si>
    <t>capital charges</t>
  </si>
  <si>
    <t>(Please input reporting date in DD/MM/YYYY format)</t>
  </si>
  <si>
    <t>Parameters</t>
  </si>
  <si>
    <t>1) All submissions shall be made to the Insurance Commission.</t>
  </si>
  <si>
    <t xml:space="preserve">2) Please input data and information required to compute the Capital Adequacy Ratio in the yellow colour cells. </t>
  </si>
  <si>
    <t>Capital Adequacy Ratio (CAR)</t>
  </si>
  <si>
    <t>Summary of results</t>
  </si>
  <si>
    <t>Components of RBC Requirements</t>
  </si>
  <si>
    <t>Non-life Template for the Risk-based Capital 2 Framework</t>
  </si>
  <si>
    <t>RBC</t>
  </si>
  <si>
    <t>Requirement</t>
  </si>
  <si>
    <t>Calculation of Total Available Capital</t>
  </si>
  <si>
    <t>Calculation of capital charges</t>
  </si>
  <si>
    <t>Value of Liabilities at Central Estimate plus MfAD on a Gross basis</t>
  </si>
  <si>
    <t>Value of Liabilities at Central Estimate plus MfAD on a Net basis</t>
  </si>
  <si>
    <t>Claim Liability risk charge</t>
  </si>
  <si>
    <t>Premium Liability risk charge</t>
  </si>
  <si>
    <t>Components of Total Available Capital</t>
  </si>
  <si>
    <t>Total Available Capital</t>
  </si>
  <si>
    <r>
      <t xml:space="preserve">Net Unexpired Risk Reserve </t>
    </r>
    <r>
      <rPr>
        <b/>
        <sz val="11"/>
        <color rgb="FFFF0000"/>
        <rFont val="Calibri"/>
        <family val="2"/>
        <scheme val="minor"/>
      </rPr>
      <t>(Required)</t>
    </r>
  </si>
  <si>
    <t>The capital required to be determined taking the maximum of the three components below:</t>
  </si>
  <si>
    <t>Legend:</t>
  </si>
  <si>
    <t>- 60% of the combined prescribed return period retained aggregate losses in any given year arising from both the Earthquake and Windstorm.</t>
  </si>
  <si>
    <t>RC%_Receivables</t>
  </si>
  <si>
    <t>Asset and Liability Cash Flow Information</t>
  </si>
  <si>
    <t>Discount Rate as at Reporting Date</t>
  </si>
  <si>
    <t>Net Unearned Premium Reserve</t>
  </si>
  <si>
    <t>Present Value (Net URR)</t>
  </si>
  <si>
    <t>5.6.1</t>
  </si>
  <si>
    <t>5.6.2</t>
  </si>
  <si>
    <t>6.6.1</t>
  </si>
  <si>
    <t>6.6.2</t>
  </si>
  <si>
    <t>7.6.1</t>
  </si>
  <si>
    <t>7.6.2</t>
  </si>
  <si>
    <t>Other funds/ investments</t>
  </si>
  <si>
    <t>Financial Assets (designated at Fair Value to P&amp;L, Held For Trading and Available For Sale, Held to Maturity) including investment income due and accrued</t>
  </si>
  <si>
    <t>12.1.3</t>
  </si>
  <si>
    <t>12.1.4</t>
  </si>
  <si>
    <t>12.1.5</t>
  </si>
  <si>
    <t>12.1.6</t>
  </si>
  <si>
    <t>12.1.6.1</t>
  </si>
  <si>
    <t>12.1.6.2</t>
  </si>
  <si>
    <t>12.2.3</t>
  </si>
  <si>
    <t>12.2.4</t>
  </si>
  <si>
    <t>12.2.5</t>
  </si>
  <si>
    <t>12.2.6</t>
  </si>
  <si>
    <t>12.2.6.1</t>
  </si>
  <si>
    <t>12.2.6.2</t>
  </si>
  <si>
    <t>12.4.1</t>
  </si>
  <si>
    <t>12.4.2</t>
  </si>
  <si>
    <t>12.4.3</t>
  </si>
  <si>
    <t>12.4.4</t>
  </si>
  <si>
    <t>12.4.5</t>
  </si>
  <si>
    <t>12.4.6</t>
  </si>
  <si>
    <t>12.4.6.1</t>
  </si>
  <si>
    <t>12.5.1</t>
  </si>
  <si>
    <t>12.5.2</t>
  </si>
  <si>
    <t>12.5.3</t>
  </si>
  <si>
    <t>12.5.4</t>
  </si>
  <si>
    <t>12.5.5</t>
  </si>
  <si>
    <t>12.5.6</t>
  </si>
  <si>
    <t>12.5.7</t>
  </si>
  <si>
    <t>12.6.1</t>
  </si>
  <si>
    <t>12.6.2</t>
  </si>
  <si>
    <t>12.6.3</t>
  </si>
  <si>
    <t>12.6.4</t>
  </si>
  <si>
    <t>12.6.5</t>
  </si>
  <si>
    <t>12.6.6</t>
  </si>
  <si>
    <t>12.6.6.1</t>
  </si>
  <si>
    <t>12.6.6.2</t>
  </si>
  <si>
    <t>12.7.1</t>
  </si>
  <si>
    <t>12.7.2</t>
  </si>
  <si>
    <t>12.7.3</t>
  </si>
  <si>
    <t>12.7.4</t>
  </si>
  <si>
    <t>12.7.5</t>
  </si>
  <si>
    <t>12.7.6</t>
  </si>
  <si>
    <t>12.7.6.1</t>
  </si>
  <si>
    <t>12.7.6.2</t>
  </si>
  <si>
    <t>12.8.1</t>
  </si>
  <si>
    <t>12.8.1.1</t>
  </si>
  <si>
    <t>12.8.1.2</t>
  </si>
  <si>
    <t>12.8.2</t>
  </si>
  <si>
    <t>12.8.2.1</t>
  </si>
  <si>
    <t>12.8.2.2</t>
  </si>
  <si>
    <t>16.1.1</t>
  </si>
  <si>
    <t>16.1.1.1</t>
  </si>
  <si>
    <t>16.1.1.2</t>
  </si>
  <si>
    <t>16.1.2</t>
  </si>
  <si>
    <t>Prepaid or Deferred Charges</t>
  </si>
  <si>
    <t>Cash in banks (Incl. Investment Income Due &amp; Accrued)</t>
  </si>
  <si>
    <t>Time Deposits (Incl. Investment Income Due &amp; Accrued)</t>
  </si>
  <si>
    <t>Shares/Equities</t>
  </si>
  <si>
    <t>Others / Individual</t>
  </si>
  <si>
    <t>Undiscounted</t>
  </si>
  <si>
    <t>Loans and receivables (Including Investment Income Due &amp; Accrued)</t>
  </si>
  <si>
    <t>receivables / policies</t>
  </si>
  <si>
    <t>List of Risk Factors by Number of Outstanding Count for Receivables/Policies</t>
  </si>
  <si>
    <t>Notes</t>
  </si>
  <si>
    <t>Additional comments from the Company</t>
  </si>
  <si>
    <t>Item</t>
  </si>
  <si>
    <t>1)</t>
  </si>
  <si>
    <t xml:space="preserve">   </t>
  </si>
  <si>
    <t>Goodwill, trade names, and other intangible assets</t>
  </si>
  <si>
    <t>Office furniture, furnishing, fixtures and equipment</t>
  </si>
  <si>
    <t>Countersigned by:</t>
  </si>
  <si>
    <t>Chief Financial Officer</t>
  </si>
  <si>
    <t>Prepared by:</t>
  </si>
  <si>
    <t>Please sign over printed name</t>
  </si>
  <si>
    <t>Name:</t>
  </si>
  <si>
    <t>Designation:</t>
  </si>
  <si>
    <t>Market Risk Capital Charge - Equities</t>
  </si>
  <si>
    <t>Market Risk Capital Charge - Others</t>
  </si>
  <si>
    <t>R3(E)</t>
  </si>
  <si>
    <t>R3(O)</t>
  </si>
  <si>
    <t>- prescribed return period retained aggregated losses in any given year arising from an Earthquake;</t>
  </si>
  <si>
    <t>- prescribed return period retained aggregated losses in any given year arising from a Windstorm;</t>
  </si>
  <si>
    <t>Submission date:</t>
  </si>
  <si>
    <t>(Please input submission date in DD/MM/YYYY format)</t>
  </si>
  <si>
    <t>R3 Equities</t>
  </si>
  <si>
    <t>R3 Others</t>
  </si>
  <si>
    <t>Tabs in this template</t>
  </si>
  <si>
    <t>99.5% Level of Suffiency</t>
  </si>
  <si>
    <t>1-in-200 return period losses of the AEP</t>
  </si>
  <si>
    <t>Insurance Commission</t>
  </si>
  <si>
    <t>Excess of combined Tier 2 Capital and Non-Admitted Assets from Tier 1 Capital</t>
  </si>
  <si>
    <t>Statutory Deposit</t>
  </si>
  <si>
    <t>Contributed surplus</t>
  </si>
  <si>
    <t>Contingency surplus / Home office inward remittance</t>
  </si>
  <si>
    <t xml:space="preserve">BSP Regulated </t>
  </si>
  <si>
    <t>14.2.1</t>
  </si>
  <si>
    <t xml:space="preserve">     Universal Bank</t>
  </si>
  <si>
    <t>14.2.2</t>
  </si>
  <si>
    <t xml:space="preserve">     Commercial Banks</t>
  </si>
  <si>
    <t>14.2.3</t>
  </si>
  <si>
    <t xml:space="preserve">     Rural and Thrift Banks</t>
  </si>
  <si>
    <t>14.2.4</t>
  </si>
  <si>
    <t xml:space="preserve">     Saving and Loans Association</t>
  </si>
  <si>
    <t>14.2.5</t>
  </si>
  <si>
    <t xml:space="preserve">      Other BSP Regulated Entities</t>
  </si>
  <si>
    <t>Non insurance-related, non IC-regulated, and non BSP-regulated entity</t>
  </si>
  <si>
    <t>For</t>
  </si>
  <si>
    <t>Non-Life Insurance and Professional Reinsurance Companies</t>
  </si>
  <si>
    <t>Version:</t>
  </si>
  <si>
    <t>Reporting Date:</t>
  </si>
  <si>
    <t>TAB</t>
  </si>
  <si>
    <t>CELL NO.</t>
  </si>
  <si>
    <t>PREVIOUS VERSION</t>
  </si>
  <si>
    <t>CHANGE</t>
  </si>
  <si>
    <t>E35</t>
  </si>
  <si>
    <t>2019v2.0</t>
  </si>
  <si>
    <t>C65</t>
  </si>
  <si>
    <t>Change of operational risk formula to =MIN(Input_Operational!E17,0.1*SQRT(SUM(SUM(E17:E18,E20:E21)^2,SUM(E24:E25)^2,E29^2,SUM(E28,E30:E32)^2,E38^2)))</t>
  </si>
  <si>
    <t>Accounts Receivables (Lease Receivables, Allowance for Impairment Losses)</t>
  </si>
  <si>
    <t>2020v1</t>
  </si>
  <si>
    <t>Correction Date:</t>
  </si>
  <si>
    <t>3) The following colour keys apply throughout this spreadsheet:</t>
  </si>
  <si>
    <t>Change of Relative Change Shock-Up of 75% Maturity Years to 152%</t>
  </si>
  <si>
    <t>Deposit For Future Subscription</t>
  </si>
  <si>
    <t>C21</t>
  </si>
  <si>
    <t>Added line item for Deposit For Future Subscription</t>
  </si>
  <si>
    <t>2019v3.0</t>
  </si>
  <si>
    <t>Revised By:</t>
  </si>
  <si>
    <t>HBAC</t>
  </si>
  <si>
    <t>Date of Revision</t>
  </si>
  <si>
    <t>Right of Use</t>
  </si>
  <si>
    <t>Updated the formula to capture the change in risk charge depneding on the number of policies</t>
  </si>
  <si>
    <t>JCM</t>
  </si>
  <si>
    <t>K39-45
K162-168
K170-176
K203-209</t>
  </si>
  <si>
    <t>E231</t>
  </si>
  <si>
    <t>2020v2</t>
  </si>
  <si>
    <t>1st Quarter of 2022 onwards</t>
  </si>
  <si>
    <t>Addition of line item for Right of Use Asset with risk charge same as to Investment Property</t>
  </si>
  <si>
    <t>2020 v2</t>
  </si>
  <si>
    <t>rbc2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</si>
</sst>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0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0.0%"/>
    <numFmt numFmtId="170" formatCode="#,##0.0_);\(#,##0.0\)"/>
    <numFmt numFmtId="171" formatCode="0.000%"/>
    <numFmt numFmtId="172" formatCode="_-* #,##0_-;\-* #,##0_-;_-* &quot;-&quot;??_-;_-@_-"/>
    <numFmt numFmtId="173" formatCode="_-&quot;$&quot;* #,##0_-;\-&quot;$&quot;* #,##0_-;_-&quot;$&quot;* &quot;-&quot;_-;_-@_-"/>
    <numFmt numFmtId="174" formatCode="_-&quot;$&quot;* #,##0.00_-;\-&quot;$&quot;* #,##0.00_-;_-&quot;$&quot;* &quot;-&quot;??_-;_-@_-"/>
    <numFmt numFmtId="175" formatCode="00"/>
    <numFmt numFmtId="176" formatCode="#,##0&quot;?&quot;;[Red]\-#,##0&quot;?&quot;"/>
    <numFmt numFmtId="177" formatCode="#,##0_ "/>
    <numFmt numFmtId="178" formatCode="General_)"/>
    <numFmt numFmtId="179" formatCode="&quot;$&quot;#,##0.0000_);[Red]\(&quot;$&quot;#,##0.0000\)"/>
    <numFmt numFmtId="180" formatCode="&quot;$&quot;#,##0.0"/>
    <numFmt numFmtId="181" formatCode="#,##0.0_);[Red]\(&quot;$&quot;#,##0.0\)"/>
    <numFmt numFmtId="182" formatCode="&quot;$&quot;#,##0.000000_);\(&quot;$&quot;#,##0.000000\)"/>
    <numFmt numFmtId="183" formatCode="&quot;$&quot;#,##0.000"/>
    <numFmt numFmtId="184" formatCode="#."/>
    <numFmt numFmtId="185" formatCode="* #,##0_%;* \-#,##0_%;* #,##0_%;@_%"/>
    <numFmt numFmtId="186" formatCode="_-[$€-2]* #,##0.00_-;\-[$€-2]* #,##0.00_-;_-[$€-2]* &quot;-&quot;??_-"/>
    <numFmt numFmtId="187" formatCode="_-* #,##0\ _D_M_-;\-* #,##0\ _D_M_-;_-* &quot;-&quot;\ _D_M_-;_-@_-"/>
    <numFmt numFmtId="188" formatCode="_-* #,##0.00\ _D_M_-;\-* #,##0.00\ _D_M_-;_-* &quot;-&quot;??\ _D_M_-;_-@_-"/>
    <numFmt numFmtId="189" formatCode="_-* #,##0\ &quot;DM&quot;_-;\-* #,##0\ &quot;DM&quot;_-;_-* &quot;-&quot;\ &quot;DM&quot;_-;_-@_-"/>
    <numFmt numFmtId="190" formatCode="_-* #,##0.00\ &quot;DM&quot;_-;\-* #,##0.00\ &quot;DM&quot;_-;_-* &quot;-&quot;??\ &quot;DM&quot;_-;_-@_-"/>
    <numFmt numFmtId="191" formatCode="0.00_)"/>
    <numFmt numFmtId="192" formatCode="0."/>
    <numFmt numFmtId="193" formatCode="_ * #,##0_ ;_ * \-#,##0_ ;_ * &quot;-&quot;_ ;_ @_ "/>
    <numFmt numFmtId="194" formatCode="_ * #,##0.00_ ;_ * \-#,##0.00_ ;_ * &quot;-&quot;??_ ;_ @_ "/>
    <numFmt numFmtId="195" formatCode="#,##0&quot;円&quot;;[Red]\-#,##0&quot;円&quot;"/>
    <numFmt numFmtId="196" formatCode="0.00_ "/>
    <numFmt numFmtId="197" formatCode="d\-mmm\-yyyy"/>
    <numFmt numFmtId="198" formatCode="dd\-mmm\-yyyy"/>
    <numFmt numFmtId="199" formatCode="0_);\(0\)"/>
    <numFmt numFmtId="200" formatCode="[$-3409]mmmm\ dd\,\ yyyy;@"/>
    <numFmt numFmtId="201" formatCode="[$-3409]dd\-mmm\-yy;@"/>
  </numFmts>
  <fonts count="134">
    <font>
      <sz val="11"/>
      <color theme="1"/>
      <name val="Calibri"/>
      <family val="2"/>
      <scheme val="minor"/>
    </font>
    <font>
      <sz val="12"/>
      <name val="Calibri"/>
      <family val="2"/>
    </font>
    <font>
      <sz val="10"/>
      <name val="Arial"/>
      <family val="2"/>
    </font>
    <font>
      <sz val="10"/>
      <name val="Trebuchet MS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3"/>
      <name val="Calibri"/>
      <family val="2"/>
      <scheme val="minor"/>
    </font>
    <font>
      <sz val="1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Courier New"/>
      <family val="3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  <charset val="222"/>
    </font>
    <font>
      <sz val="10"/>
      <color indexed="8"/>
      <name val="Arial"/>
      <family val="2"/>
    </font>
    <font>
      <sz val="11"/>
      <name val="?? ??"/>
      <family val="1"/>
      <charset val="128"/>
    </font>
    <font>
      <sz val="9"/>
      <color indexed="8"/>
      <name val="?? ?????"/>
      <family val="3"/>
      <charset val="128"/>
    </font>
    <font>
      <sz val="14"/>
      <name val="?? ??"/>
      <family val="1"/>
      <charset val="128"/>
    </font>
    <font>
      <sz val="11"/>
      <name val="?? ?????"/>
      <charset val="128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8"/>
      <name val="Arial MT"/>
      <family val="2"/>
    </font>
    <font>
      <sz val="10"/>
      <name val="?? ??"/>
      <family val="1"/>
      <charset val="128"/>
    </font>
    <font>
      <sz val="10"/>
      <name val="Times New Roman"/>
      <family val="1"/>
    </font>
    <font>
      <sz val="10"/>
      <name val="Helv"/>
      <family val="2"/>
    </font>
    <font>
      <sz val="10"/>
      <name val="Book Antiqua"/>
      <family val="1"/>
    </font>
    <font>
      <sz val="12"/>
      <color indexed="8"/>
      <name val="新細明體"/>
      <family val="1"/>
      <charset val="136"/>
    </font>
    <font>
      <sz val="11"/>
      <color indexed="9"/>
      <name val="Calibri"/>
      <family val="2"/>
      <charset val="222"/>
    </font>
    <font>
      <sz val="12"/>
      <color indexed="9"/>
      <name val="新細明體"/>
      <family val="1"/>
      <charset val="136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6"/>
      <color indexed="10"/>
      <name val="Times New Roman"/>
      <family val="1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  <charset val="222"/>
    </font>
    <font>
      <b/>
      <sz val="10"/>
      <name val="Helv"/>
      <family val="2"/>
    </font>
    <font>
      <b/>
      <sz val="11"/>
      <color indexed="9"/>
      <name val="Calibri"/>
      <family val="2"/>
      <charset val="222"/>
    </font>
    <font>
      <sz val="1"/>
      <color indexed="16"/>
      <name val="Courier"/>
      <family val="3"/>
    </font>
    <font>
      <sz val="11"/>
      <name val="돋움"/>
      <family val="2"/>
      <charset val="129"/>
    </font>
    <font>
      <sz val="8"/>
      <name val="Times New Roman"/>
      <family val="1"/>
    </font>
    <font>
      <sz val="10"/>
      <name val="MS Sans Serif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2"/>
      <name val="Helv"/>
      <family val="2"/>
    </font>
    <font>
      <b/>
      <sz val="10"/>
      <name val="Times New Roman"/>
      <family val="1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  <charset val="222"/>
    </font>
    <font>
      <sz val="12"/>
      <name val="CordiaUPC"/>
      <family val="2"/>
      <charset val="22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  <charset val="222"/>
    </font>
    <font>
      <b/>
      <sz val="11"/>
      <name val="Helv"/>
      <family val="2"/>
    </font>
    <font>
      <sz val="11"/>
      <color indexed="60"/>
      <name val="Calibri"/>
      <family val="2"/>
      <charset val="222"/>
    </font>
    <font>
      <sz val="10"/>
      <name val="Courier"/>
      <family val="3"/>
    </font>
    <font>
      <b/>
      <i/>
      <sz val="16"/>
      <name val="Helv"/>
      <family val="2"/>
    </font>
    <font>
      <b/>
      <sz val="11"/>
      <color indexed="63"/>
      <name val="Calibri"/>
      <family val="2"/>
      <charset val="222"/>
    </font>
    <font>
      <b/>
      <i/>
      <sz val="12"/>
      <color indexed="8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sz val="11"/>
      <color indexed="8"/>
      <name val="Tahoma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b/>
      <sz val="18"/>
      <color indexed="62"/>
      <name val="Cambria"/>
      <family val="2"/>
    </font>
    <font>
      <b/>
      <sz val="11"/>
      <name val="Times New Roman"/>
      <family val="1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  <charset val="222"/>
    </font>
    <font>
      <b/>
      <sz val="14"/>
      <name val="Times New Roman"/>
      <family val="1"/>
    </font>
    <font>
      <sz val="11"/>
      <color indexed="10"/>
      <name val="Calibri"/>
      <family val="2"/>
      <charset val="222"/>
    </font>
    <font>
      <sz val="12"/>
      <name val="바탕체"/>
      <family val="3"/>
      <charset val="129"/>
    </font>
    <font>
      <sz val="8"/>
      <name val="Helv"/>
      <family val="2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1"/>
      <name val="ＭＳ 明朝"/>
      <family val="3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name val="宋体"/>
      <charset val="134"/>
    </font>
    <font>
      <sz val="14"/>
      <name val="ＭＳ 明朝"/>
      <family val="3"/>
      <charset val="128"/>
    </font>
    <font>
      <sz val="11"/>
      <name val="ＭＳ Ｐゴシック"/>
      <family val="2"/>
      <charset val="128"/>
    </font>
    <font>
      <sz val="10"/>
      <name val="ＭＳ 明朝"/>
      <family val="3"/>
      <charset val="128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9"/>
      <color indexed="8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sz val="11"/>
      <color theme="1"/>
      <name val="Calibri"/>
      <family val="2"/>
      <charset val="222"/>
      <scheme val="minor"/>
    </font>
    <font>
      <sz val="14"/>
      <name val="AngsanaUPC"/>
      <family val="1"/>
      <charset val="222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Minion Pro"/>
      <family val="2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</font>
    <font>
      <b/>
      <sz val="12"/>
      <name val="Calibri"/>
      <family val="2"/>
      <scheme val="minor"/>
    </font>
    <font>
      <sz val="5"/>
      <color theme="0"/>
      <name val="Calibri"/>
      <family val="2"/>
      <scheme val="minor"/>
    </font>
    <font>
      <sz val="5"/>
      <color rgb="FFFF0000"/>
      <name val="Calibri"/>
      <family val="2"/>
      <scheme val="minor"/>
    </font>
    <font>
      <sz val="11"/>
      <name val="Calibri"/>
      <family val="2"/>
    </font>
    <font>
      <sz val="11"/>
      <color theme="6" tint="-0.499984740745262"/>
      <name val="Calibri"/>
      <family val="2"/>
      <scheme val="minor"/>
    </font>
    <font>
      <sz val="12"/>
      <color rgb="FFFF0000"/>
      <name val="Calibri"/>
      <family val="2"/>
    </font>
    <font>
      <b/>
      <sz val="11"/>
      <color rgb="FFFF0000"/>
      <name val="Calibri"/>
      <family val="2"/>
    </font>
    <font>
      <i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CCCC"/>
        <bgColor indexed="64"/>
      </patternFill>
    </fill>
    <fill>
      <patternFill patternType="lightUp"/>
    </fill>
    <fill>
      <patternFill patternType="lightUp">
        <fgColor theme="0" tint="-0.14996795556505021"/>
        <bgColor indexed="65"/>
      </patternFill>
    </fill>
    <fill>
      <patternFill patternType="gray0625">
        <fgColor theme="0" tint="-0.149967955565050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lightDown">
        <fgColor theme="0" tint="-0.24994659260841701"/>
        <bgColor theme="0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  <fill>
      <patternFill patternType="lightDown">
        <fgColor theme="0" tint="-0.24994659260841701"/>
        <bgColor theme="0" tint="-0.249977111117893"/>
      </patternFill>
    </fill>
    <fill>
      <patternFill patternType="solid">
        <fgColor rgb="FFF1FBB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2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/>
      <top style="dotted">
        <color theme="0" tint="-0.2499465926084170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thin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77111117893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4659260841701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4659260841701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tted">
        <color theme="0" tint="-0.249977111117893"/>
      </bottom>
      <diagonal/>
    </border>
    <border>
      <left/>
      <right/>
      <top style="thin">
        <color theme="0" tint="-0.249977111117893"/>
      </top>
      <bottom style="dotted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 style="thin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dotted">
        <color theme="0" tint="-0.249977111117893"/>
      </top>
      <bottom style="thin">
        <color theme="0" tint="-0.249977111117893"/>
      </bottom>
      <diagonal/>
    </border>
    <border>
      <left/>
      <right/>
      <top style="dotted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dotted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4659260841701"/>
      </top>
      <bottom style="thin">
        <color theme="0" tint="-0.249977111117893"/>
      </bottom>
      <diagonal/>
    </border>
    <border>
      <left/>
      <right/>
      <top style="dotted">
        <color theme="0" tint="-0.24994659260841701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0" tint="-0.34998626667073579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/>
      <top/>
      <bottom style="dotted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 tint="-0.249977111117893"/>
      </right>
      <top/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/>
      <diagonal/>
    </border>
    <border>
      <left style="thin">
        <color theme="0" tint="-0.249977111117893"/>
      </left>
      <right/>
      <top/>
      <bottom style="dotted">
        <color theme="0" tint="-0.249977111117893"/>
      </bottom>
      <diagonal/>
    </border>
    <border>
      <left/>
      <right/>
      <top/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dotted">
        <color theme="0" tint="-0.249977111117893"/>
      </bottom>
      <diagonal/>
    </border>
    <border>
      <left/>
      <right style="thin">
        <color theme="0" tint="-0.249977111117893"/>
      </right>
      <top/>
      <bottom style="dotted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theme="0" tint="-0.24994659260841701"/>
      </left>
      <right/>
      <top style="dotted">
        <color theme="0" tint="-0.24994659260841701"/>
      </top>
      <bottom/>
      <diagonal/>
    </border>
    <border>
      <left style="thin">
        <color theme="0" tint="-0.34998626667073579"/>
      </left>
      <right style="dotted">
        <color theme="0" tint="-0.24994659260841701"/>
      </right>
      <top style="thin">
        <color theme="0" tint="-0.34998626667073579"/>
      </top>
      <bottom/>
      <diagonal/>
    </border>
    <border>
      <left style="dotted">
        <color theme="0" tint="-0.24994659260841701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dotted">
        <color theme="0" tint="-0.24994659260841701"/>
      </bottom>
      <diagonal/>
    </border>
    <border>
      <left/>
      <right style="thin">
        <color theme="0" tint="-0.34998626667073579"/>
      </right>
      <top/>
      <bottom style="dotted">
        <color theme="0" tint="-0.24994659260841701"/>
      </bottom>
      <diagonal/>
    </border>
    <border>
      <left style="thin">
        <color theme="0" tint="-0.34998626667073579"/>
      </left>
      <right/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/>
      <bottom style="dotted">
        <color theme="0" tint="-0.249977111117893"/>
      </bottom>
      <diagonal/>
    </border>
    <border>
      <left style="thin">
        <color theme="0" tint="-0.24994659260841701"/>
      </left>
      <right/>
      <top/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dotted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4659260841701"/>
      </top>
      <bottom style="dotted">
        <color theme="0" tint="-0.24994659260841701"/>
      </bottom>
      <diagonal/>
    </border>
    <border>
      <left/>
      <right style="thin">
        <color theme="0" tint="-0.34998626667073579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n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n">
        <color theme="0" tint="-0.34998626667073579"/>
      </right>
      <top style="dotted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dotted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34998626667073579"/>
      </right>
      <top style="dotted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dotted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dotted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249977111117893"/>
      </right>
      <top style="thin">
        <color theme="0" tint="-0.14996795556505021"/>
      </top>
      <bottom/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1499679555650502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679555650502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77111117893"/>
      </left>
      <right style="thin">
        <color theme="0" tint="-0.1499679555650502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0.14996795556505021"/>
      </left>
      <right/>
      <top style="dotted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249977111117893"/>
      </right>
      <top style="dotted">
        <color theme="0" tint="-0.24994659260841701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14996795556505021"/>
      </right>
      <top style="dotted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24994659260841701"/>
      </right>
      <top/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dotted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dotted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dotted">
        <color theme="0" tint="-0.34998626667073579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34998626667073579"/>
      </right>
      <top style="dotted">
        <color theme="0" tint="-0.24994659260841701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dott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dotted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86">
    <xf numFmtId="0" fontId="0" fillId="0" borderId="0"/>
    <xf numFmtId="0" fontId="3" fillId="0" borderId="0" applyNumberFormat="0" applyFont="0" applyFill="0" applyBorder="0" applyAlignment="0" applyProtection="0"/>
    <xf numFmtId="167" fontId="4" fillId="0" borderId="0" applyFont="0" applyFill="0" applyBorder="0" applyAlignment="0" applyProtection="0"/>
    <xf numFmtId="170" fontId="3" fillId="0" borderId="0">
      <alignment horizontal="right"/>
    </xf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2" fillId="0" borderId="0"/>
    <xf numFmtId="0" fontId="4" fillId="8" borderId="10" applyFont="0" applyAlignment="0">
      <alignment horizontal="left" indent="2"/>
    </xf>
    <xf numFmtId="0" fontId="4" fillId="9" borderId="10" applyFont="0" applyAlignment="0">
      <alignment horizontal="left" indent="2"/>
    </xf>
    <xf numFmtId="167" fontId="4" fillId="10" borderId="9"/>
    <xf numFmtId="169" fontId="4" fillId="12" borderId="11">
      <alignment horizontal="center"/>
    </xf>
    <xf numFmtId="169" fontId="4" fillId="13" borderId="12">
      <alignment horizontal="center"/>
    </xf>
    <xf numFmtId="167" fontId="2" fillId="0" borderId="0" applyFont="0" applyFill="0" applyBorder="0" applyAlignment="0" applyProtection="0"/>
    <xf numFmtId="175" fontId="26" fillId="0" borderId="4" applyBorder="0">
      <alignment horizontal="center" vertical="center" wrapText="1"/>
    </xf>
    <xf numFmtId="0" fontId="27" fillId="17" borderId="0" applyNumberFormat="0" applyBorder="0">
      <alignment horizontal="right"/>
      <protection locked="0"/>
    </xf>
    <xf numFmtId="0" fontId="2" fillId="18" borderId="0" applyNumberFormat="0" applyFont="0" applyBorder="0" applyAlignment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6" fontId="32" fillId="0" borderId="0" applyFont="0" applyFill="0" applyBorder="0" applyProtection="0">
      <alignment vertical="center"/>
      <protection locked="0"/>
    </xf>
    <xf numFmtId="0" fontId="2" fillId="0" borderId="0"/>
    <xf numFmtId="166" fontId="33" fillId="0" borderId="0" applyFont="0" applyFill="0" applyBorder="0" applyAlignment="0" applyProtection="0"/>
    <xf numFmtId="0" fontId="34" fillId="0" borderId="0"/>
    <xf numFmtId="177" fontId="35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38" fontId="35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/>
    <xf numFmtId="0" fontId="39" fillId="0" borderId="0">
      <alignment vertical="center"/>
    </xf>
    <xf numFmtId="0" fontId="2" fillId="0" borderId="0"/>
    <xf numFmtId="0" fontId="4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42" fillId="0" borderId="87" applyNumberFormat="0" applyFont="0" applyFill="0" applyBorder="0" applyAlignment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/>
    <xf numFmtId="0" fontId="44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45" fillId="29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/>
    <xf numFmtId="0" fontId="46" fillId="34" borderId="0" applyNumberFormat="0" applyBorder="0" applyAlignment="0" applyProtection="0"/>
    <xf numFmtId="0" fontId="47" fillId="35" borderId="0" applyNumberFormat="0" applyBorder="0" applyAlignment="0" applyProtection="0"/>
    <xf numFmtId="0" fontId="44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7" fillId="39" borderId="0" applyNumberFormat="0" applyBorder="0" applyAlignment="0" applyProtection="0"/>
    <xf numFmtId="0" fontId="44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7" fillId="43" borderId="0" applyNumberFormat="0" applyBorder="0" applyAlignment="0" applyProtection="0"/>
    <xf numFmtId="0" fontId="44" fillId="44" borderId="0" applyNumberFormat="0" applyBorder="0" applyAlignment="0" applyProtection="0"/>
    <xf numFmtId="0" fontId="46" fillId="37" borderId="0" applyNumberFormat="0" applyBorder="0" applyAlignment="0" applyProtection="0"/>
    <xf numFmtId="0" fontId="46" fillId="45" borderId="0" applyNumberFormat="0" applyBorder="0" applyAlignment="0" applyProtection="0"/>
    <xf numFmtId="0" fontId="47" fillId="38" borderId="0" applyNumberFormat="0" applyBorder="0" applyAlignment="0" applyProtection="0"/>
    <xf numFmtId="0" fontId="44" fillId="30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7" fillId="35" borderId="0" applyNumberFormat="0" applyBorder="0" applyAlignment="0" applyProtection="0"/>
    <xf numFmtId="0" fontId="44" fillId="31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0" fontId="47" fillId="50" borderId="0" applyNumberFormat="0" applyBorder="0" applyAlignment="0" applyProtection="0"/>
    <xf numFmtId="0" fontId="44" fillId="51" borderId="0" applyNumberFormat="0" applyBorder="0" applyAlignment="0" applyProtection="0"/>
    <xf numFmtId="178" fontId="48" fillId="0" borderId="0">
      <alignment horizontal="centerContinuous"/>
    </xf>
    <xf numFmtId="0" fontId="49" fillId="20" borderId="0" applyNumberFormat="0" applyBorder="0" applyAlignment="0" applyProtection="0"/>
    <xf numFmtId="179" fontId="2" fillId="0" borderId="0" applyFill="0" applyBorder="0" applyAlignment="0"/>
    <xf numFmtId="180" fontId="2" fillId="0" borderId="0" applyFill="0" applyBorder="0" applyAlignment="0"/>
    <xf numFmtId="181" fontId="2" fillId="0" borderId="0" applyFill="0" applyBorder="0" applyAlignment="0"/>
    <xf numFmtId="182" fontId="2" fillId="0" borderId="0" applyFill="0" applyBorder="0" applyAlignment="0"/>
    <xf numFmtId="183" fontId="2" fillId="0" borderId="0" applyFill="0" applyBorder="0" applyAlignment="0"/>
    <xf numFmtId="179" fontId="2" fillId="0" borderId="0" applyFill="0" applyBorder="0" applyAlignment="0"/>
    <xf numFmtId="179" fontId="2" fillId="0" borderId="0" applyFill="0" applyBorder="0" applyAlignment="0"/>
    <xf numFmtId="180" fontId="2" fillId="0" borderId="0" applyFill="0" applyBorder="0" applyAlignment="0"/>
    <xf numFmtId="0" fontId="50" fillId="52" borderId="88" applyNumberFormat="0" applyAlignment="0" applyProtection="0"/>
    <xf numFmtId="0" fontId="51" fillId="0" borderId="0"/>
    <xf numFmtId="0" fontId="52" fillId="53" borderId="89" applyNumberFormat="0" applyAlignment="0" applyProtection="0"/>
    <xf numFmtId="0" fontId="24" fillId="0" borderId="1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4" fontId="53" fillId="0" borderId="0">
      <protection locked="0"/>
    </xf>
    <xf numFmtId="180" fontId="2" fillId="0" borderId="0" applyFont="0" applyFill="0" applyBorder="0" applyAlignment="0" applyProtection="0"/>
    <xf numFmtId="184" fontId="53" fillId="0" borderId="0">
      <protection locked="0"/>
    </xf>
    <xf numFmtId="0" fontId="54" fillId="0" borderId="0"/>
    <xf numFmtId="168" fontId="55" fillId="0" borderId="0">
      <protection locked="0"/>
    </xf>
    <xf numFmtId="184" fontId="53" fillId="0" borderId="0">
      <protection locked="0"/>
    </xf>
    <xf numFmtId="14" fontId="31" fillId="0" borderId="0" applyFill="0" applyBorder="0" applyAlignment="0"/>
    <xf numFmtId="38" fontId="56" fillId="0" borderId="90">
      <alignment vertical="center"/>
    </xf>
    <xf numFmtId="185" fontId="2" fillId="0" borderId="0"/>
    <xf numFmtId="0" fontId="57" fillId="54" borderId="0" applyNumberFormat="0" applyBorder="0" applyAlignment="0" applyProtection="0"/>
    <xf numFmtId="0" fontId="57" fillId="55" borderId="0" applyNumberFormat="0" applyBorder="0" applyAlignment="0" applyProtection="0"/>
    <xf numFmtId="0" fontId="57" fillId="56" borderId="0" applyNumberFormat="0" applyBorder="0" applyAlignment="0" applyProtection="0"/>
    <xf numFmtId="179" fontId="2" fillId="0" borderId="0" applyFill="0" applyBorder="0" applyAlignment="0"/>
    <xf numFmtId="180" fontId="2" fillId="0" borderId="0" applyFill="0" applyBorder="0" applyAlignment="0"/>
    <xf numFmtId="179" fontId="2" fillId="0" borderId="0" applyFill="0" applyBorder="0" applyAlignment="0"/>
    <xf numFmtId="179" fontId="2" fillId="0" borderId="0" applyFill="0" applyBorder="0" applyAlignment="0"/>
    <xf numFmtId="180" fontId="2" fillId="0" borderId="0" applyFill="0" applyBorder="0" applyAlignment="0"/>
    <xf numFmtId="186" fontId="54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/>
    <xf numFmtId="184" fontId="53" fillId="0" borderId="0">
      <protection locked="0"/>
    </xf>
    <xf numFmtId="0" fontId="59" fillId="21" borderId="0" applyNumberFormat="0" applyBorder="0" applyAlignment="0" applyProtection="0"/>
    <xf numFmtId="38" fontId="28" fillId="16" borderId="0" applyNumberFormat="0" applyBorder="0" applyAlignment="0" applyProtection="0"/>
    <xf numFmtId="0" fontId="60" fillId="0" borderId="0">
      <alignment horizontal="left"/>
    </xf>
    <xf numFmtId="0" fontId="23" fillId="0" borderId="86" applyNumberFormat="0" applyAlignment="0" applyProtection="0">
      <alignment horizontal="left" vertical="center"/>
    </xf>
    <xf numFmtId="0" fontId="23" fillId="0" borderId="5">
      <alignment horizontal="left" vertical="center"/>
    </xf>
    <xf numFmtId="0" fontId="61" fillId="17" borderId="2">
      <alignment horizontal="center" vertical="center" wrapText="1"/>
    </xf>
    <xf numFmtId="0" fontId="62" fillId="0" borderId="91" applyNumberFormat="0" applyFill="0" applyAlignment="0" applyProtection="0"/>
    <xf numFmtId="0" fontId="63" fillId="0" borderId="92" applyNumberFormat="0" applyFill="0" applyAlignment="0" applyProtection="0"/>
    <xf numFmtId="0" fontId="64" fillId="0" borderId="93" applyNumberFormat="0" applyFill="0" applyAlignment="0" applyProtection="0"/>
    <xf numFmtId="0" fontId="64" fillId="0" borderId="0" applyNumberFormat="0" applyFill="0" applyBorder="0" applyAlignment="0" applyProtection="0"/>
    <xf numFmtId="1" fontId="65" fillId="0" borderId="0" applyFont="0" applyFill="0" applyBorder="0" applyAlignment="0" applyProtection="0"/>
    <xf numFmtId="0" fontId="61" fillId="0" borderId="94">
      <alignment vertical="top"/>
    </xf>
    <xf numFmtId="10" fontId="28" fillId="17" borderId="1" applyNumberFormat="0" applyBorder="0" applyAlignment="0" applyProtection="0"/>
    <xf numFmtId="0" fontId="66" fillId="24" borderId="88" applyNumberFormat="0" applyAlignment="0" applyProtection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" fontId="2" fillId="0" borderId="0" applyFont="0" applyFill="0" applyBorder="0" applyAlignment="0" applyProtection="0"/>
    <xf numFmtId="179" fontId="2" fillId="0" borderId="0" applyFill="0" applyBorder="0" applyAlignment="0"/>
    <xf numFmtId="0" fontId="67" fillId="0" borderId="95" applyNumberFormat="0" applyFill="0" applyAlignment="0" applyProtection="0"/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68" fillId="0" borderId="96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69" fillId="57" borderId="0" applyNumberFormat="0" applyBorder="0" applyAlignment="0" applyProtection="0"/>
    <xf numFmtId="0" fontId="70" fillId="0" borderId="0"/>
    <xf numFmtId="0" fontId="2" fillId="0" borderId="0"/>
    <xf numFmtId="191" fontId="71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2" borderId="97" applyNumberFormat="0" applyFont="0" applyAlignment="0" applyProtection="0"/>
    <xf numFmtId="0" fontId="2" fillId="2" borderId="97" applyNumberFormat="0" applyFont="0" applyAlignment="0" applyProtection="0"/>
    <xf numFmtId="192" fontId="65" fillId="0" borderId="6" applyFont="0" applyFill="0" applyBorder="0" applyAlignment="0" applyProtection="0"/>
    <xf numFmtId="0" fontId="72" fillId="52" borderId="98" applyNumberFormat="0" applyAlignment="0" applyProtection="0"/>
    <xf numFmtId="37" fontId="31" fillId="0" borderId="0">
      <alignment horizontal="right"/>
    </xf>
    <xf numFmtId="0" fontId="73" fillId="16" borderId="0">
      <alignment horizontal="center"/>
    </xf>
    <xf numFmtId="0" fontId="23" fillId="0" borderId="0"/>
    <xf numFmtId="0" fontId="74" fillId="0" borderId="0" applyBorder="0">
      <alignment horizontal="centerContinuous"/>
    </xf>
    <xf numFmtId="0" fontId="75" fillId="0" borderId="0" applyBorder="0">
      <alignment horizontal="centerContinuous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6" fillId="0" borderId="0" applyNumberFormat="0" applyFont="0" applyFill="0" applyBorder="0" applyAlignment="0" applyProtection="0">
      <alignment horizontal="left"/>
    </xf>
    <xf numFmtId="0" fontId="77" fillId="0" borderId="96">
      <alignment horizontal="center"/>
    </xf>
    <xf numFmtId="4" fontId="78" fillId="57" borderId="99" applyNumberFormat="0" applyProtection="0">
      <alignment vertical="center"/>
    </xf>
    <xf numFmtId="4" fontId="79" fillId="57" borderId="99" applyNumberFormat="0" applyProtection="0">
      <alignment vertical="center"/>
    </xf>
    <xf numFmtId="4" fontId="78" fillId="57" borderId="99" applyNumberFormat="0" applyProtection="0">
      <alignment horizontal="left" vertical="center" indent="1"/>
    </xf>
    <xf numFmtId="0" fontId="78" fillId="57" borderId="99" applyNumberFormat="0" applyProtection="0">
      <alignment horizontal="left" vertical="top" indent="1"/>
    </xf>
    <xf numFmtId="4" fontId="78" fillId="58" borderId="0" applyNumberFormat="0" applyProtection="0">
      <alignment horizontal="left" vertical="center" indent="1"/>
    </xf>
    <xf numFmtId="4" fontId="31" fillId="20" borderId="99" applyNumberFormat="0" applyProtection="0">
      <alignment horizontal="right" vertical="center"/>
    </xf>
    <xf numFmtId="4" fontId="31" fillId="26" borderId="99" applyNumberFormat="0" applyProtection="0">
      <alignment horizontal="right" vertical="center"/>
    </xf>
    <xf numFmtId="4" fontId="31" fillId="40" borderId="99" applyNumberFormat="0" applyProtection="0">
      <alignment horizontal="right" vertical="center"/>
    </xf>
    <xf numFmtId="4" fontId="31" fillId="28" borderId="99" applyNumberFormat="0" applyProtection="0">
      <alignment horizontal="right" vertical="center"/>
    </xf>
    <xf numFmtId="4" fontId="31" fillId="32" borderId="99" applyNumberFormat="0" applyProtection="0">
      <alignment horizontal="right" vertical="center"/>
    </xf>
    <xf numFmtId="4" fontId="31" fillId="51" borderId="99" applyNumberFormat="0" applyProtection="0">
      <alignment horizontal="right" vertical="center"/>
    </xf>
    <xf numFmtId="4" fontId="31" fillId="44" borderId="99" applyNumberFormat="0" applyProtection="0">
      <alignment horizontal="right" vertical="center"/>
    </xf>
    <xf numFmtId="4" fontId="31" fillId="59" borderId="99" applyNumberFormat="0" applyProtection="0">
      <alignment horizontal="right" vertical="center"/>
    </xf>
    <xf numFmtId="4" fontId="31" fillId="27" borderId="99" applyNumberFormat="0" applyProtection="0">
      <alignment horizontal="right" vertical="center"/>
    </xf>
    <xf numFmtId="4" fontId="78" fillId="60" borderId="100" applyNumberFormat="0" applyProtection="0">
      <alignment horizontal="left" vertical="center" indent="1"/>
    </xf>
    <xf numFmtId="4" fontId="31" fillId="61" borderId="0" applyNumberFormat="0" applyProtection="0">
      <alignment horizontal="left" vertical="center" indent="1"/>
    </xf>
    <xf numFmtId="4" fontId="80" fillId="62" borderId="0" applyNumberFormat="0" applyProtection="0">
      <alignment horizontal="left" vertical="center" indent="1"/>
    </xf>
    <xf numFmtId="4" fontId="31" fillId="58" borderId="99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8" borderId="0" applyNumberFormat="0" applyProtection="0">
      <alignment horizontal="left" vertical="center" indent="1"/>
    </xf>
    <xf numFmtId="0" fontId="2" fillId="62" borderId="99" applyNumberFormat="0" applyProtection="0">
      <alignment horizontal="left" vertical="center" indent="1"/>
    </xf>
    <xf numFmtId="0" fontId="2" fillId="62" borderId="99" applyNumberFormat="0" applyProtection="0">
      <alignment horizontal="left" vertical="top" indent="1"/>
    </xf>
    <xf numFmtId="0" fontId="2" fillId="58" borderId="99" applyNumberFormat="0" applyProtection="0">
      <alignment horizontal="left" vertical="center" indent="1"/>
    </xf>
    <xf numFmtId="0" fontId="2" fillId="58" borderId="99" applyNumberFormat="0" applyProtection="0">
      <alignment horizontal="left" vertical="top" indent="1"/>
    </xf>
    <xf numFmtId="0" fontId="2" fillId="25" borderId="99" applyNumberFormat="0" applyProtection="0">
      <alignment horizontal="left" vertical="center" indent="1"/>
    </xf>
    <xf numFmtId="0" fontId="2" fillId="25" borderId="99" applyNumberFormat="0" applyProtection="0">
      <alignment horizontal="left" vertical="top" indent="1"/>
    </xf>
    <xf numFmtId="0" fontId="2" fillId="61" borderId="99" applyNumberFormat="0" applyProtection="0">
      <alignment horizontal="left" vertical="center" indent="1"/>
    </xf>
    <xf numFmtId="0" fontId="2" fillId="61" borderId="99" applyNumberFormat="0" applyProtection="0">
      <alignment horizontal="left" vertical="top" indent="1"/>
    </xf>
    <xf numFmtId="0" fontId="2" fillId="63" borderId="1" applyNumberFormat="0">
      <protection locked="0"/>
    </xf>
    <xf numFmtId="0" fontId="29" fillId="62" borderId="101" applyBorder="0"/>
    <xf numFmtId="4" fontId="31" fillId="2" borderId="99" applyNumberFormat="0" applyProtection="0">
      <alignment vertical="center"/>
    </xf>
    <xf numFmtId="4" fontId="81" fillId="2" borderId="99" applyNumberFormat="0" applyProtection="0">
      <alignment vertical="center"/>
    </xf>
    <xf numFmtId="4" fontId="31" fillId="2" borderId="99" applyNumberFormat="0" applyProtection="0">
      <alignment horizontal="left" vertical="center" indent="1"/>
    </xf>
    <xf numFmtId="0" fontId="31" fillId="2" borderId="99" applyNumberFormat="0" applyProtection="0">
      <alignment horizontal="left" vertical="top" indent="1"/>
    </xf>
    <xf numFmtId="4" fontId="31" fillId="61" borderId="99" applyNumberFormat="0" applyProtection="0">
      <alignment horizontal="right" vertical="center"/>
    </xf>
    <xf numFmtId="4" fontId="81" fillId="61" borderId="99" applyNumberFormat="0" applyProtection="0">
      <alignment horizontal="right" vertical="center"/>
    </xf>
    <xf numFmtId="4" fontId="31" fillId="58" borderId="99" applyNumberFormat="0" applyProtection="0">
      <alignment horizontal="left" vertical="center" indent="1"/>
    </xf>
    <xf numFmtId="0" fontId="31" fillId="58" borderId="99" applyNumberFormat="0" applyProtection="0">
      <alignment horizontal="left" vertical="top" indent="1"/>
    </xf>
    <xf numFmtId="4" fontId="82" fillId="64" borderId="0" applyNumberFormat="0" applyProtection="0">
      <alignment horizontal="left" vertical="center" indent="1"/>
    </xf>
    <xf numFmtId="0" fontId="28" fillId="65" borderId="1"/>
    <xf numFmtId="4" fontId="25" fillId="61" borderId="99" applyNumberFormat="0" applyProtection="0">
      <alignment horizontal="right" vertical="center"/>
    </xf>
    <xf numFmtId="0" fontId="8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8" fillId="0" borderId="0"/>
    <xf numFmtId="40" fontId="84" fillId="0" borderId="0"/>
    <xf numFmtId="0" fontId="85" fillId="0" borderId="0" applyNumberFormat="0" applyFill="0" applyBorder="0" applyAlignment="0" applyProtection="0"/>
    <xf numFmtId="0" fontId="86" fillId="0" borderId="102" applyNumberFormat="0" applyFill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7" fillId="0" borderId="0" applyAlignment="0">
      <alignment wrapText="1"/>
    </xf>
    <xf numFmtId="0" fontId="61" fillId="16" borderId="0">
      <alignment vertical="top"/>
    </xf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0" fontId="8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93" fontId="89" fillId="0" borderId="0" applyFont="0" applyFill="0" applyBorder="0" applyAlignment="0" applyProtection="0"/>
    <xf numFmtId="194" fontId="89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90" fillId="0" borderId="0"/>
    <xf numFmtId="0" fontId="91" fillId="0" borderId="0">
      <alignment vertical="center"/>
    </xf>
    <xf numFmtId="0" fontId="92" fillId="57" borderId="0" applyNumberFormat="0" applyBorder="0" applyAlignment="0" applyProtection="0">
      <alignment vertical="center"/>
    </xf>
    <xf numFmtId="0" fontId="2" fillId="2" borderId="97" applyNumberFormat="0" applyFont="0" applyAlignment="0" applyProtection="0">
      <alignment vertical="center"/>
    </xf>
    <xf numFmtId="195" fontId="93" fillId="0" borderId="0" applyFont="0" applyFill="0" applyBorder="0" applyProtection="0">
      <alignment vertical="center"/>
      <protection locked="0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94" fillId="0" borderId="102" applyNumberFormat="0" applyFill="0" applyAlignment="0" applyProtection="0">
      <alignment vertical="center"/>
    </xf>
    <xf numFmtId="0" fontId="95" fillId="20" borderId="0" applyNumberFormat="0" applyBorder="0" applyAlignment="0" applyProtection="0">
      <alignment vertical="center"/>
    </xf>
    <xf numFmtId="0" fontId="96" fillId="21" borderId="0" applyNumberFormat="0" applyBorder="0" applyAlignment="0" applyProtection="0">
      <alignment vertical="center"/>
    </xf>
    <xf numFmtId="0" fontId="97" fillId="0" borderId="0"/>
    <xf numFmtId="0" fontId="98" fillId="0" borderId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7" fontId="99" fillId="0" borderId="0" applyFont="0" applyFill="0" applyBorder="0" applyAlignment="0" applyProtection="0"/>
    <xf numFmtId="196" fontId="99" fillId="0" borderId="0" applyFont="0" applyFill="0" applyBorder="0" applyAlignment="0" applyProtection="0"/>
    <xf numFmtId="0" fontId="38" fillId="0" borderId="0"/>
    <xf numFmtId="0" fontId="100" fillId="0" borderId="0">
      <alignment vertical="center"/>
    </xf>
    <xf numFmtId="0" fontId="101" fillId="0" borderId="0" applyNumberFormat="0" applyFill="0" applyBorder="0" applyAlignment="0" applyProtection="0">
      <alignment vertical="center"/>
    </xf>
    <xf numFmtId="0" fontId="102" fillId="0" borderId="91" applyNumberFormat="0" applyFill="0" applyAlignment="0" applyProtection="0">
      <alignment vertical="center"/>
    </xf>
    <xf numFmtId="0" fontId="103" fillId="0" borderId="92" applyNumberFormat="0" applyFill="0" applyAlignment="0" applyProtection="0">
      <alignment vertical="center"/>
    </xf>
    <xf numFmtId="0" fontId="104" fillId="0" borderId="93" applyNumberFormat="0" applyFill="0" applyAlignment="0" applyProtection="0">
      <alignment vertical="center"/>
    </xf>
    <xf numFmtId="0" fontId="104" fillId="0" borderId="0" applyNumberFormat="0" applyFill="0" applyBorder="0" applyAlignment="0" applyProtection="0">
      <alignment vertical="center"/>
    </xf>
    <xf numFmtId="0" fontId="2" fillId="0" borderId="0"/>
    <xf numFmtId="0" fontId="105" fillId="53" borderId="89" applyNumberFormat="0" applyAlignment="0" applyProtection="0">
      <alignment vertical="center"/>
    </xf>
    <xf numFmtId="166" fontId="106" fillId="0" borderId="0" applyFont="0" applyFill="0" applyBorder="0" applyAlignment="0" applyProtection="0"/>
    <xf numFmtId="164" fontId="106" fillId="0" borderId="0" applyFont="0" applyFill="0" applyBorder="0" applyAlignment="0" applyProtection="0"/>
    <xf numFmtId="0" fontId="107" fillId="52" borderId="88" applyNumberFormat="0" applyAlignment="0" applyProtection="0">
      <alignment vertical="center"/>
    </xf>
    <xf numFmtId="0" fontId="108" fillId="0" borderId="0" applyNumberFormat="0" applyFill="0" applyBorder="0" applyAlignment="0" applyProtection="0">
      <alignment vertical="center"/>
    </xf>
    <xf numFmtId="0" fontId="109" fillId="0" borderId="0" applyNumberFormat="0" applyFill="0" applyBorder="0" applyAlignment="0" applyProtection="0">
      <alignment vertical="center"/>
    </xf>
    <xf numFmtId="173" fontId="9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5" fillId="36" borderId="0" applyNumberFormat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45" fillId="44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51" borderId="0" applyNumberFormat="0" applyBorder="0" applyAlignment="0" applyProtection="0">
      <alignment vertical="center"/>
    </xf>
    <xf numFmtId="0" fontId="110" fillId="24" borderId="88" applyNumberFormat="0" applyAlignment="0" applyProtection="0">
      <alignment vertical="center"/>
    </xf>
    <xf numFmtId="0" fontId="111" fillId="52" borderId="98" applyNumberFormat="0" applyAlignment="0" applyProtection="0">
      <alignment vertical="center"/>
    </xf>
    <xf numFmtId="0" fontId="112" fillId="0" borderId="95" applyNumberFormat="0" applyFill="0" applyAlignment="0" applyProtection="0">
      <alignment vertical="center"/>
    </xf>
    <xf numFmtId="0" fontId="22" fillId="0" borderId="0"/>
    <xf numFmtId="16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113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3" fontId="114" fillId="0" borderId="1"/>
    <xf numFmtId="167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16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16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2" fillId="0" borderId="0"/>
    <xf numFmtId="0" fontId="115" fillId="0" borderId="0" applyNumberForma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7" fontId="1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167" fontId="4" fillId="0" borderId="0" applyFont="0" applyFill="0" applyBorder="0" applyAlignment="0" applyProtection="0"/>
    <xf numFmtId="0" fontId="129" fillId="0" borderId="0"/>
  </cellStyleXfs>
  <cellXfs count="683">
    <xf numFmtId="0" fontId="0" fillId="0" borderId="0" xfId="0"/>
    <xf numFmtId="168" fontId="7" fillId="4" borderId="56" xfId="2" applyNumberFormat="1" applyFont="1" applyFill="1" applyBorder="1" applyAlignment="1" applyProtection="1">
      <alignment horizontal="center" vertical="center"/>
      <protection locked="0"/>
    </xf>
    <xf numFmtId="168" fontId="7" fillId="4" borderId="57" xfId="2" applyNumberFormat="1" applyFont="1" applyFill="1" applyBorder="1" applyAlignment="1" applyProtection="1">
      <alignment horizontal="center" vertical="center"/>
      <protection locked="0"/>
    </xf>
    <xf numFmtId="168" fontId="7" fillId="4" borderId="58" xfId="2" applyNumberFormat="1" applyFont="1" applyFill="1" applyBorder="1" applyAlignment="1" applyProtection="1">
      <alignment horizontal="center" vertical="center"/>
      <protection locked="0"/>
    </xf>
    <xf numFmtId="168" fontId="7" fillId="4" borderId="61" xfId="2" applyNumberFormat="1" applyFont="1" applyFill="1" applyBorder="1" applyAlignment="1" applyProtection="1">
      <alignment horizontal="center" vertical="center"/>
      <protection locked="0"/>
    </xf>
    <xf numFmtId="168" fontId="7" fillId="4" borderId="60" xfId="2" applyNumberFormat="1" applyFont="1" applyFill="1" applyBorder="1" applyAlignment="1" applyProtection="1">
      <alignment horizontal="center" vertical="center"/>
      <protection locked="0"/>
    </xf>
    <xf numFmtId="168" fontId="7" fillId="4" borderId="65" xfId="2" applyNumberFormat="1" applyFont="1" applyFill="1" applyBorder="1" applyAlignment="1" applyProtection="1">
      <alignment horizontal="center" vertical="center"/>
      <protection locked="0"/>
    </xf>
    <xf numFmtId="168" fontId="7" fillId="4" borderId="64" xfId="2" applyNumberFormat="1" applyFont="1" applyFill="1" applyBorder="1" applyAlignment="1" applyProtection="1">
      <alignment horizontal="center" vertical="center"/>
      <protection locked="0"/>
    </xf>
    <xf numFmtId="168" fontId="7" fillId="4" borderId="69" xfId="2" applyNumberFormat="1" applyFont="1" applyFill="1" applyBorder="1" applyAlignment="1" applyProtection="1">
      <alignment horizontal="center" vertical="center"/>
      <protection locked="0"/>
    </xf>
    <xf numFmtId="168" fontId="7" fillId="4" borderId="68" xfId="2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horizontal="center"/>
    </xf>
    <xf numFmtId="168" fontId="7" fillId="4" borderId="126" xfId="2" applyNumberFormat="1" applyFont="1" applyFill="1" applyBorder="1" applyAlignment="1" applyProtection="1">
      <alignment horizontal="center" vertical="center"/>
      <protection locked="0"/>
    </xf>
    <xf numFmtId="168" fontId="7" fillId="4" borderId="128" xfId="2" applyNumberFormat="1" applyFont="1" applyFill="1" applyBorder="1" applyAlignment="1" applyProtection="1">
      <alignment horizontal="center" vertical="center"/>
      <protection locked="0"/>
    </xf>
    <xf numFmtId="168" fontId="7" fillId="4" borderId="130" xfId="2" applyNumberFormat="1" applyFont="1" applyFill="1" applyBorder="1" applyAlignment="1" applyProtection="1">
      <alignment horizontal="center" vertical="center"/>
      <protection locked="0"/>
    </xf>
    <xf numFmtId="168" fontId="7" fillId="68" borderId="44" xfId="0" applyNumberFormat="1" applyFont="1" applyFill="1" applyBorder="1" applyAlignment="1" applyProtection="1">
      <alignment vertical="center"/>
      <protection locked="0"/>
    </xf>
    <xf numFmtId="167" fontId="7" fillId="68" borderId="7" xfId="2" applyFont="1" applyFill="1" applyBorder="1" applyProtection="1">
      <protection locked="0"/>
    </xf>
    <xf numFmtId="167" fontId="7" fillId="68" borderId="18" xfId="2" applyFont="1" applyFill="1" applyBorder="1" applyProtection="1">
      <protection locked="0"/>
    </xf>
    <xf numFmtId="167" fontId="7" fillId="68" borderId="136" xfId="2" applyFont="1" applyFill="1" applyBorder="1" applyProtection="1">
      <protection locked="0"/>
    </xf>
    <xf numFmtId="167" fontId="7" fillId="68" borderId="28" xfId="2" applyFont="1" applyFill="1" applyBorder="1" applyProtection="1">
      <protection locked="0"/>
    </xf>
    <xf numFmtId="167" fontId="7" fillId="68" borderId="21" xfId="2" applyFont="1" applyFill="1" applyBorder="1" applyProtection="1">
      <protection locked="0"/>
    </xf>
    <xf numFmtId="167" fontId="7" fillId="68" borderId="7" xfId="2" applyFont="1" applyFill="1" applyBorder="1" applyAlignment="1" applyProtection="1">
      <alignment horizontal="left" indent="2"/>
      <protection locked="0"/>
    </xf>
    <xf numFmtId="0" fontId="127" fillId="68" borderId="126" xfId="0" applyFont="1" applyFill="1" applyBorder="1" applyProtection="1">
      <protection locked="0"/>
    </xf>
    <xf numFmtId="168" fontId="7" fillId="68" borderId="129" xfId="2" applyNumberFormat="1" applyFont="1" applyFill="1" applyBorder="1" applyAlignment="1" applyProtection="1">
      <protection locked="0"/>
    </xf>
    <xf numFmtId="168" fontId="7" fillId="68" borderId="67" xfId="2" applyNumberFormat="1" applyFont="1" applyFill="1" applyBorder="1" applyAlignment="1" applyProtection="1">
      <protection locked="0"/>
    </xf>
    <xf numFmtId="0" fontId="7" fillId="68" borderId="65" xfId="0" applyFont="1" applyFill="1" applyBorder="1" applyProtection="1">
      <protection locked="0"/>
    </xf>
    <xf numFmtId="0" fontId="7" fillId="68" borderId="69" xfId="0" applyFont="1" applyFill="1" applyBorder="1" applyProtection="1">
      <protection locked="0"/>
    </xf>
    <xf numFmtId="168" fontId="7" fillId="68" borderId="71" xfId="2" applyNumberFormat="1" applyFont="1" applyFill="1" applyBorder="1" applyAlignment="1" applyProtection="1">
      <protection locked="0"/>
    </xf>
    <xf numFmtId="168" fontId="7" fillId="68" borderId="128" xfId="2" applyNumberFormat="1" applyFont="1" applyFill="1" applyBorder="1" applyAlignment="1" applyProtection="1">
      <protection locked="0"/>
    </xf>
    <xf numFmtId="168" fontId="7" fillId="68" borderId="64" xfId="2" applyNumberFormat="1" applyFont="1" applyFill="1" applyBorder="1" applyAlignment="1" applyProtection="1">
      <protection locked="0"/>
    </xf>
    <xf numFmtId="168" fontId="7" fillId="68" borderId="68" xfId="2" applyNumberFormat="1" applyFont="1" applyFill="1" applyBorder="1" applyAlignment="1" applyProtection="1">
      <protection locked="0"/>
    </xf>
    <xf numFmtId="199" fontId="7" fillId="68" borderId="18" xfId="2" applyNumberFormat="1" applyFont="1" applyFill="1" applyBorder="1" applyProtection="1">
      <protection locked="0"/>
    </xf>
    <xf numFmtId="167" fontId="7" fillId="68" borderId="109" xfId="2" applyFont="1" applyFill="1" applyBorder="1" applyProtection="1">
      <protection locked="0"/>
    </xf>
    <xf numFmtId="0" fontId="7" fillId="4" borderId="46" xfId="0" applyFont="1" applyFill="1" applyBorder="1" applyProtection="1">
      <protection locked="0"/>
    </xf>
    <xf numFmtId="0" fontId="0" fillId="4" borderId="113" xfId="0" applyFill="1" applyBorder="1" applyProtection="1">
      <protection locked="0"/>
    </xf>
    <xf numFmtId="199" fontId="7" fillId="68" borderId="21" xfId="2" applyNumberFormat="1" applyFont="1" applyFill="1" applyBorder="1" applyProtection="1">
      <protection locked="0"/>
    </xf>
    <xf numFmtId="198" fontId="7" fillId="4" borderId="46" xfId="0" applyNumberFormat="1" applyFon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94" fontId="7" fillId="4" borderId="60" xfId="2" applyNumberFormat="1" applyFont="1" applyFill="1" applyBorder="1" applyAlignment="1" applyProtection="1">
      <alignment horizontal="left"/>
      <protection locked="0"/>
    </xf>
    <xf numFmtId="167" fontId="7" fillId="68" borderId="26" xfId="2" applyFont="1" applyFill="1" applyBorder="1" applyProtection="1">
      <protection locked="0"/>
    </xf>
    <xf numFmtId="168" fontId="7" fillId="4" borderId="66" xfId="0" applyNumberFormat="1" applyFont="1" applyFill="1" applyBorder="1" applyAlignment="1" applyProtection="1">
      <alignment vertical="center"/>
      <protection locked="0"/>
    </xf>
    <xf numFmtId="168" fontId="7" fillId="4" borderId="70" xfId="0" applyNumberFormat="1" applyFont="1" applyFill="1" applyBorder="1" applyAlignment="1" applyProtection="1">
      <alignment vertical="center"/>
      <protection locked="0"/>
    </xf>
    <xf numFmtId="168" fontId="7" fillId="4" borderId="64" xfId="0" applyNumberFormat="1" applyFont="1" applyFill="1" applyBorder="1" applyAlignment="1" applyProtection="1">
      <alignment vertical="center"/>
      <protection locked="0"/>
    </xf>
    <xf numFmtId="168" fontId="7" fillId="4" borderId="68" xfId="0" applyNumberFormat="1" applyFont="1" applyFill="1" applyBorder="1" applyAlignment="1" applyProtection="1">
      <alignment vertical="center"/>
      <protection locked="0"/>
    </xf>
    <xf numFmtId="168" fontId="7" fillId="4" borderId="128" xfId="0" applyNumberFormat="1" applyFont="1" applyFill="1" applyBorder="1" applyAlignment="1" applyProtection="1">
      <alignment vertical="center"/>
      <protection locked="0"/>
    </xf>
    <xf numFmtId="168" fontId="7" fillId="4" borderId="127" xfId="0" applyNumberFormat="1" applyFont="1" applyFill="1" applyBorder="1" applyAlignment="1" applyProtection="1">
      <alignment vertical="center"/>
      <protection locked="0"/>
    </xf>
    <xf numFmtId="168" fontId="7" fillId="4" borderId="24" xfId="2" applyNumberFormat="1" applyFont="1" applyFill="1" applyBorder="1" applyAlignment="1" applyProtection="1">
      <alignment horizontal="center" vertical="center"/>
      <protection locked="0"/>
    </xf>
    <xf numFmtId="167" fontId="7" fillId="4" borderId="173" xfId="2" applyFont="1" applyFill="1" applyBorder="1" applyAlignment="1" applyProtection="1">
      <alignment horizontal="left" indent="2"/>
      <protection locked="0"/>
    </xf>
    <xf numFmtId="167" fontId="7" fillId="4" borderId="176" xfId="2" applyFont="1" applyFill="1" applyBorder="1" applyAlignment="1" applyProtection="1">
      <alignment horizontal="left" indent="2"/>
      <protection locked="0"/>
    </xf>
    <xf numFmtId="0" fontId="1" fillId="0" borderId="0" xfId="0" applyFont="1"/>
    <xf numFmtId="0" fontId="9" fillId="5" borderId="7" xfId="0" applyFont="1" applyFill="1" applyBorder="1"/>
    <xf numFmtId="0" fontId="118" fillId="0" borderId="7" xfId="0" applyFont="1" applyBorder="1"/>
    <xf numFmtId="0" fontId="125" fillId="0" borderId="0" xfId="0" applyFont="1"/>
    <xf numFmtId="198" fontId="118" fillId="0" borderId="7" xfId="0" applyNumberFormat="1" applyFont="1" applyBorder="1" applyAlignment="1">
      <alignment horizontal="left"/>
    </xf>
    <xf numFmtId="0" fontId="12" fillId="0" borderId="0" xfId="0" applyFont="1"/>
    <xf numFmtId="0" fontId="120" fillId="0" borderId="0" xfId="0" applyFont="1"/>
    <xf numFmtId="0" fontId="14" fillId="0" borderId="0" xfId="0" applyFont="1"/>
    <xf numFmtId="0" fontId="16" fillId="0" borderId="0" xfId="0" applyFont="1"/>
    <xf numFmtId="0" fontId="6" fillId="0" borderId="0" xfId="0" applyFont="1"/>
    <xf numFmtId="0" fontId="7" fillId="0" borderId="0" xfId="0" applyFont="1"/>
    <xf numFmtId="0" fontId="119" fillId="0" borderId="0" xfId="0" applyFont="1"/>
    <xf numFmtId="198" fontId="118" fillId="0" borderId="0" xfId="0" applyNumberFormat="1" applyFont="1" applyAlignment="1">
      <alignment horizontal="left"/>
    </xf>
    <xf numFmtId="0" fontId="6" fillId="5" borderId="15" xfId="0" quotePrefix="1" applyFont="1" applyFill="1" applyBorder="1" applyAlignment="1">
      <alignment horizontal="left"/>
    </xf>
    <xf numFmtId="0" fontId="6" fillId="5" borderId="37" xfId="0" quotePrefix="1" applyFont="1" applyFill="1" applyBorder="1" applyAlignment="1">
      <alignment horizontal="left"/>
    </xf>
    <xf numFmtId="0" fontId="6" fillId="5" borderId="16" xfId="0" quotePrefix="1" applyFont="1" applyFill="1" applyBorder="1" applyAlignment="1">
      <alignment horizontal="left"/>
    </xf>
    <xf numFmtId="0" fontId="6" fillId="0" borderId="78" xfId="0" quotePrefix="1" applyFont="1" applyBorder="1" applyAlignment="1">
      <alignment horizontal="left"/>
    </xf>
    <xf numFmtId="0" fontId="115" fillId="0" borderId="50" xfId="476" applyBorder="1" applyProtection="1"/>
    <xf numFmtId="0" fontId="0" fillId="0" borderId="78" xfId="0" applyBorder="1"/>
    <xf numFmtId="0" fontId="0" fillId="0" borderId="79" xfId="0" applyBorder="1"/>
    <xf numFmtId="0" fontId="0" fillId="0" borderId="80" xfId="0" applyBorder="1"/>
    <xf numFmtId="0" fontId="0" fillId="0" borderId="81" xfId="0" applyBorder="1"/>
    <xf numFmtId="0" fontId="115" fillId="0" borderId="49" xfId="476" applyBorder="1" applyProtection="1"/>
    <xf numFmtId="0" fontId="0" fillId="0" borderId="82" xfId="0" applyBorder="1"/>
    <xf numFmtId="0" fontId="6" fillId="0" borderId="78" xfId="0" applyFont="1" applyBorder="1"/>
    <xf numFmtId="0" fontId="115" fillId="0" borderId="50" xfId="476" applyFill="1" applyBorder="1" applyProtection="1"/>
    <xf numFmtId="0" fontId="6" fillId="0" borderId="81" xfId="0" applyFont="1" applyBorder="1"/>
    <xf numFmtId="0" fontId="115" fillId="0" borderId="49" xfId="476" applyFill="1" applyBorder="1" applyProtection="1"/>
    <xf numFmtId="0" fontId="0" fillId="0" borderId="83" xfId="0" applyBorder="1"/>
    <xf numFmtId="0" fontId="115" fillId="0" borderId="51" xfId="476" applyFill="1" applyBorder="1" applyProtection="1"/>
    <xf numFmtId="0" fontId="123" fillId="0" borderId="84" xfId="0" applyFont="1" applyBorder="1"/>
    <xf numFmtId="0" fontId="0" fillId="0" borderId="84" xfId="0" applyBorder="1"/>
    <xf numFmtId="0" fontId="0" fillId="0" borderId="85" xfId="0" applyBorder="1"/>
    <xf numFmtId="0" fontId="18" fillId="0" borderId="0" xfId="0" quotePrefix="1" applyFont="1" applyAlignment="1">
      <alignment horizontal="left" indent="2"/>
    </xf>
    <xf numFmtId="0" fontId="6" fillId="0" borderId="0" xfId="0" quotePrefix="1" applyFont="1" applyAlignment="1">
      <alignment horizontal="right"/>
    </xf>
    <xf numFmtId="0" fontId="115" fillId="0" borderId="0" xfId="476" applyFill="1" applyBorder="1" applyProtection="1"/>
    <xf numFmtId="0" fontId="6" fillId="5" borderId="7" xfId="0" quotePrefix="1" applyFont="1" applyFill="1" applyBorder="1" applyAlignment="1">
      <alignment horizontal="left"/>
    </xf>
    <xf numFmtId="0" fontId="6" fillId="5" borderId="13" xfId="0" quotePrefix="1" applyFont="1" applyFill="1" applyBorder="1" applyAlignment="1">
      <alignment horizontal="left"/>
    </xf>
    <xf numFmtId="0" fontId="0" fillId="5" borderId="17" xfId="0" applyFill="1" applyBorder="1"/>
    <xf numFmtId="0" fontId="0" fillId="5" borderId="14" xfId="0" applyFill="1" applyBorder="1"/>
    <xf numFmtId="0" fontId="18" fillId="0" borderId="0" xfId="0" applyFont="1"/>
    <xf numFmtId="0" fontId="7" fillId="4" borderId="7" xfId="0" applyFont="1" applyFill="1" applyBorder="1"/>
    <xf numFmtId="0" fontId="0" fillId="0" borderId="13" xfId="0" applyBorder="1"/>
    <xf numFmtId="0" fontId="0" fillId="0" borderId="17" xfId="0" applyBorder="1"/>
    <xf numFmtId="0" fontId="0" fillId="0" borderId="14" xfId="0" applyBorder="1"/>
    <xf numFmtId="0" fontId="11" fillId="14" borderId="8" xfId="0" applyFont="1" applyFill="1" applyBorder="1"/>
    <xf numFmtId="169" fontId="124" fillId="69" borderId="36" xfId="0" applyNumberFormat="1" applyFont="1" applyFill="1" applyBorder="1" applyAlignment="1">
      <alignment horizontal="left"/>
    </xf>
    <xf numFmtId="169" fontId="10" fillId="67" borderId="30" xfId="17" applyFont="1" applyFill="1" applyBorder="1" applyAlignment="1">
      <alignment horizontal="left"/>
    </xf>
    <xf numFmtId="0" fontId="0" fillId="0" borderId="46" xfId="0" applyBorder="1"/>
    <xf numFmtId="0" fontId="0" fillId="0" borderId="47" xfId="0" applyBorder="1"/>
    <xf numFmtId="0" fontId="0" fillId="0" borderId="113" xfId="0" applyBorder="1"/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97" fontId="11" fillId="0" borderId="0" xfId="0" applyNumberFormat="1" applyFont="1" applyAlignment="1">
      <alignment horizontal="left"/>
    </xf>
    <xf numFmtId="0" fontId="9" fillId="3" borderId="13" xfId="0" applyFont="1" applyFill="1" applyBorder="1" applyAlignment="1">
      <alignment horizontal="left"/>
    </xf>
    <xf numFmtId="0" fontId="8" fillId="3" borderId="17" xfId="0" applyFont="1" applyFill="1" applyBorder="1"/>
    <xf numFmtId="0" fontId="8" fillId="3" borderId="14" xfId="0" applyFont="1" applyFill="1" applyBorder="1"/>
    <xf numFmtId="0" fontId="8" fillId="0" borderId="0" xfId="0" applyFont="1"/>
    <xf numFmtId="0" fontId="9" fillId="0" borderId="31" xfId="0" applyFont="1" applyBorder="1"/>
    <xf numFmtId="0" fontId="8" fillId="0" borderId="32" xfId="0" applyFont="1" applyBorder="1"/>
    <xf numFmtId="0" fontId="8" fillId="0" borderId="31" xfId="0" applyFont="1" applyBorder="1"/>
    <xf numFmtId="168" fontId="8" fillId="0" borderId="0" xfId="2" applyNumberFormat="1" applyFont="1" applyProtection="1"/>
    <xf numFmtId="0" fontId="0" fillId="0" borderId="31" xfId="0" applyBorder="1" applyAlignment="1">
      <alignment horizontal="center"/>
    </xf>
    <xf numFmtId="9" fontId="8" fillId="0" borderId="0" xfId="0" applyNumberFormat="1" applyFont="1"/>
    <xf numFmtId="9" fontId="9" fillId="0" borderId="7" xfId="5" applyFont="1" applyFill="1" applyBorder="1" applyAlignment="1" applyProtection="1">
      <alignment horizontal="center"/>
    </xf>
    <xf numFmtId="168" fontId="0" fillId="0" borderId="0" xfId="2" applyNumberFormat="1" applyFont="1" applyProtection="1"/>
    <xf numFmtId="9" fontId="124" fillId="69" borderId="36" xfId="0" applyNumberFormat="1" applyFont="1" applyFill="1" applyBorder="1" applyAlignment="1">
      <alignment horizontal="center"/>
    </xf>
    <xf numFmtId="0" fontId="8" fillId="0" borderId="33" xfId="0" applyFont="1" applyBorder="1"/>
    <xf numFmtId="0" fontId="8" fillId="0" borderId="34" xfId="0" applyFont="1" applyBorder="1"/>
    <xf numFmtId="9" fontId="8" fillId="0" borderId="35" xfId="5" applyFont="1" applyBorder="1" applyProtection="1"/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0" fontId="0" fillId="0" borderId="0" xfId="0" applyAlignment="1">
      <alignment horizontal="left" indent="2"/>
    </xf>
    <xf numFmtId="9" fontId="0" fillId="0" borderId="0" xfId="0" applyNumberFormat="1"/>
    <xf numFmtId="0" fontId="5" fillId="0" borderId="0" xfId="0" applyFont="1" applyAlignment="1">
      <alignment vertical="center"/>
    </xf>
    <xf numFmtId="0" fontId="5" fillId="0" borderId="0" xfId="0" applyFont="1"/>
    <xf numFmtId="0" fontId="16" fillId="0" borderId="0" xfId="0" applyFont="1" applyAlignment="1">
      <alignment horizontal="left"/>
    </xf>
    <xf numFmtId="0" fontId="19" fillId="0" borderId="0" xfId="0" applyFont="1"/>
    <xf numFmtId="197" fontId="19" fillId="0" borderId="0" xfId="0" applyNumberFormat="1" applyFont="1"/>
    <xf numFmtId="0" fontId="17" fillId="0" borderId="0" xfId="0" applyFont="1" applyAlignment="1">
      <alignment horizontal="left" vertical="center" indent="1"/>
    </xf>
    <xf numFmtId="0" fontId="122" fillId="0" borderId="0" xfId="0" applyFont="1" applyAlignment="1">
      <alignment wrapText="1"/>
    </xf>
    <xf numFmtId="0" fontId="0" fillId="0" borderId="0" xfId="0" applyAlignment="1">
      <alignment wrapText="1"/>
    </xf>
    <xf numFmtId="0" fontId="6" fillId="3" borderId="13" xfId="0" applyFont="1" applyFill="1" applyBorder="1"/>
    <xf numFmtId="0" fontId="6" fillId="3" borderId="17" xfId="0" applyFont="1" applyFill="1" applyBorder="1" applyAlignment="1">
      <alignment wrapText="1"/>
    </xf>
    <xf numFmtId="0" fontId="6" fillId="3" borderId="14" xfId="0" applyFont="1" applyFill="1" applyBorder="1" applyAlignment="1">
      <alignment wrapText="1"/>
    </xf>
    <xf numFmtId="0" fontId="122" fillId="0" borderId="0" xfId="0" applyFont="1"/>
    <xf numFmtId="0" fontId="6" fillId="3" borderId="15" xfId="0" applyFont="1" applyFill="1" applyBorder="1" applyAlignment="1">
      <alignment horizontal="left"/>
    </xf>
    <xf numFmtId="0" fontId="6" fillId="3" borderId="1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6" fillId="3" borderId="33" xfId="0" applyFont="1" applyFill="1" applyBorder="1" applyAlignment="1">
      <alignment horizontal="left"/>
    </xf>
    <xf numFmtId="0" fontId="6" fillId="3" borderId="35" xfId="0" applyFont="1" applyFill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5" borderId="7" xfId="0" applyFont="1" applyFill="1" applyBorder="1"/>
    <xf numFmtId="167" fontId="6" fillId="5" borderId="7" xfId="0" applyNumberFormat="1" applyFont="1" applyFill="1" applyBorder="1"/>
    <xf numFmtId="0" fontId="6" fillId="0" borderId="8" xfId="0" applyFont="1" applyBorder="1"/>
    <xf numFmtId="0" fontId="6" fillId="0" borderId="15" xfId="0" quotePrefix="1" applyFont="1" applyBorder="1" applyAlignment="1">
      <alignment horizontal="left"/>
    </xf>
    <xf numFmtId="167" fontId="0" fillId="0" borderId="8" xfId="2" applyFont="1" applyFill="1" applyBorder="1" applyProtection="1"/>
    <xf numFmtId="0" fontId="121" fillId="0" borderId="0" xfId="0" applyFont="1"/>
    <xf numFmtId="0" fontId="0" fillId="0" borderId="26" xfId="0" applyBorder="1"/>
    <xf numFmtId="0" fontId="0" fillId="0" borderId="31" xfId="0" quotePrefix="1" applyBorder="1" applyAlignment="1">
      <alignment horizontal="left" indent="2"/>
    </xf>
    <xf numFmtId="167" fontId="11" fillId="0" borderId="26" xfId="2" applyFont="1" applyBorder="1" applyAlignment="1" applyProtection="1">
      <alignment horizontal="center"/>
    </xf>
    <xf numFmtId="9" fontId="8" fillId="0" borderId="26" xfId="5" applyFont="1" applyBorder="1" applyAlignment="1" applyProtection="1">
      <alignment horizontal="center"/>
    </xf>
    <xf numFmtId="0" fontId="0" fillId="0" borderId="31" xfId="0" applyBorder="1" applyAlignment="1">
      <alignment horizontal="left" indent="2"/>
    </xf>
    <xf numFmtId="0" fontId="6" fillId="0" borderId="26" xfId="0" applyFont="1" applyBorder="1"/>
    <xf numFmtId="0" fontId="6" fillId="0" borderId="31" xfId="0" quotePrefix="1" applyFont="1" applyBorder="1" applyAlignment="1">
      <alignment horizontal="left"/>
    </xf>
    <xf numFmtId="167" fontId="11" fillId="0" borderId="26" xfId="2" applyFont="1" applyFill="1" applyBorder="1" applyProtection="1"/>
    <xf numFmtId="0" fontId="0" fillId="0" borderId="27" xfId="0" applyBorder="1"/>
    <xf numFmtId="0" fontId="0" fillId="0" borderId="33" xfId="0" applyBorder="1"/>
    <xf numFmtId="167" fontId="0" fillId="0" borderId="27" xfId="2" applyFont="1" applyBorder="1" applyProtection="1"/>
    <xf numFmtId="0" fontId="6" fillId="5" borderId="110" xfId="0" applyFont="1" applyFill="1" applyBorder="1"/>
    <xf numFmtId="167" fontId="6" fillId="5" borderId="131" xfId="2" applyFont="1" applyFill="1" applyBorder="1" applyProtection="1"/>
    <xf numFmtId="0" fontId="6" fillId="0" borderId="111" xfId="0" applyFont="1" applyBorder="1"/>
    <xf numFmtId="0" fontId="0" fillId="0" borderId="31" xfId="0" applyBorder="1"/>
    <xf numFmtId="0" fontId="0" fillId="0" borderId="26" xfId="0" applyBorder="1" applyAlignment="1">
      <alignment horizontal="left"/>
    </xf>
    <xf numFmtId="169" fontId="11" fillId="0" borderId="0" xfId="17" applyFont="1" applyFill="1" applyBorder="1">
      <alignment horizontal="center"/>
    </xf>
    <xf numFmtId="168" fontId="8" fillId="0" borderId="0" xfId="2" applyNumberFormat="1" applyFont="1" applyFill="1" applyBorder="1" applyProtection="1"/>
    <xf numFmtId="0" fontId="6" fillId="0" borderId="33" xfId="0" applyFont="1" applyBorder="1"/>
    <xf numFmtId="167" fontId="8" fillId="0" borderId="27" xfId="2" applyFont="1" applyBorder="1" applyProtection="1"/>
    <xf numFmtId="9" fontId="11" fillId="0" borderId="0" xfId="5" applyFont="1" applyFill="1" applyBorder="1" applyAlignment="1" applyProtection="1">
      <alignment horizontal="center"/>
    </xf>
    <xf numFmtId="167" fontId="6" fillId="5" borderId="7" xfId="2" applyFont="1" applyFill="1" applyBorder="1" applyProtection="1"/>
    <xf numFmtId="0" fontId="0" fillId="0" borderId="31" xfId="0" quotePrefix="1" applyBorder="1" applyAlignment="1">
      <alignment horizontal="left"/>
    </xf>
    <xf numFmtId="9" fontId="8" fillId="0" borderId="32" xfId="5" applyFont="1" applyBorder="1" applyAlignment="1" applyProtection="1">
      <alignment horizontal="center"/>
    </xf>
    <xf numFmtId="167" fontId="0" fillId="0" borderId="26" xfId="2" applyFont="1" applyBorder="1" applyProtection="1"/>
    <xf numFmtId="0" fontId="6" fillId="0" borderId="112" xfId="0" applyFont="1" applyBorder="1"/>
    <xf numFmtId="9" fontId="0" fillId="0" borderId="0" xfId="5" applyFont="1" applyFill="1" applyBorder="1" applyProtection="1"/>
    <xf numFmtId="167" fontId="0" fillId="0" borderId="0" xfId="0" applyNumberFormat="1"/>
    <xf numFmtId="0" fontId="12" fillId="0" borderId="0" xfId="0" applyFont="1" applyAlignment="1">
      <alignment horizontal="left" indent="2"/>
    </xf>
    <xf numFmtId="0" fontId="16" fillId="0" borderId="0" xfId="0" applyFont="1" applyAlignment="1">
      <alignment horizontal="left" indent="2"/>
    </xf>
    <xf numFmtId="0" fontId="17" fillId="0" borderId="0" xfId="0" applyFont="1"/>
    <xf numFmtId="0" fontId="7" fillId="4" borderId="0" xfId="0" applyFont="1" applyFill="1"/>
    <xf numFmtId="0" fontId="0" fillId="4" borderId="0" xfId="0" applyFill="1"/>
    <xf numFmtId="0" fontId="11" fillId="14" borderId="0" xfId="0" applyFont="1" applyFill="1"/>
    <xf numFmtId="0" fontId="19" fillId="14" borderId="0" xfId="0" applyFont="1" applyFill="1"/>
    <xf numFmtId="0" fontId="0" fillId="14" borderId="0" xfId="0" applyFill="1"/>
    <xf numFmtId="0" fontId="6" fillId="3" borderId="46" xfId="0" applyFont="1" applyFill="1" applyBorder="1"/>
    <xf numFmtId="0" fontId="0" fillId="3" borderId="47" xfId="0" applyFill="1" applyBorder="1"/>
    <xf numFmtId="0" fontId="6" fillId="3" borderId="36" xfId="0" applyFont="1" applyFill="1" applyBorder="1" applyAlignment="1">
      <alignment horizontal="center" wrapText="1"/>
    </xf>
    <xf numFmtId="0" fontId="6" fillId="5" borderId="46" xfId="0" applyFont="1" applyFill="1" applyBorder="1"/>
    <xf numFmtId="0" fontId="0" fillId="5" borderId="47" xfId="0" applyFill="1" applyBorder="1"/>
    <xf numFmtId="168" fontId="0" fillId="5" borderId="36" xfId="2" applyNumberFormat="1" applyFont="1" applyFill="1" applyBorder="1" applyAlignment="1" applyProtection="1">
      <alignment wrapText="1"/>
    </xf>
    <xf numFmtId="0" fontId="6" fillId="0" borderId="38" xfId="0" applyFont="1" applyBorder="1"/>
    <xf numFmtId="0" fontId="0" fillId="0" borderId="40" xfId="0" applyBorder="1"/>
    <xf numFmtId="168" fontId="0" fillId="0" borderId="43" xfId="2" applyNumberFormat="1" applyFont="1" applyBorder="1" applyAlignment="1" applyProtection="1"/>
    <xf numFmtId="0" fontId="0" fillId="0" borderId="39" xfId="0" applyBorder="1" applyAlignment="1">
      <alignment horizontal="left" indent="2"/>
    </xf>
    <xf numFmtId="0" fontId="0" fillId="0" borderId="41" xfId="0" applyBorder="1"/>
    <xf numFmtId="168" fontId="8" fillId="0" borderId="44" xfId="0" applyNumberFormat="1" applyFont="1" applyBorder="1" applyAlignment="1">
      <alignment vertical="center"/>
    </xf>
    <xf numFmtId="0" fontId="0" fillId="0" borderId="39" xfId="0" applyBorder="1" applyAlignment="1">
      <alignment horizontal="left" indent="5"/>
    </xf>
    <xf numFmtId="0" fontId="0" fillId="0" borderId="133" xfId="0" applyBorder="1" applyAlignment="1">
      <alignment horizontal="left" indent="2"/>
    </xf>
    <xf numFmtId="0" fontId="0" fillId="0" borderId="77" xfId="0" applyBorder="1"/>
    <xf numFmtId="168" fontId="8" fillId="0" borderId="43" xfId="2" applyNumberFormat="1" applyFont="1" applyBorder="1" applyAlignment="1" applyProtection="1"/>
    <xf numFmtId="0" fontId="8" fillId="0" borderId="39" xfId="0" applyFont="1" applyBorder="1" applyAlignment="1">
      <alignment horizontal="left" indent="2"/>
    </xf>
    <xf numFmtId="0" fontId="8" fillId="0" borderId="133" xfId="0" applyFont="1" applyBorder="1" applyAlignment="1">
      <alignment horizontal="left" indent="2"/>
    </xf>
    <xf numFmtId="168" fontId="0" fillId="0" borderId="0" xfId="0" applyNumberFormat="1"/>
    <xf numFmtId="168" fontId="11" fillId="14" borderId="44" xfId="0" applyNumberFormat="1" applyFont="1" applyFill="1" applyBorder="1" applyAlignment="1">
      <alignment vertical="center"/>
    </xf>
    <xf numFmtId="0" fontId="0" fillId="0" borderId="155" xfId="0" applyBorder="1" applyAlignment="1">
      <alignment horizontal="left" indent="2"/>
    </xf>
    <xf numFmtId="0" fontId="0" fillId="0" borderId="104" xfId="0" applyBorder="1"/>
    <xf numFmtId="0" fontId="0" fillId="0" borderId="158" xfId="0" applyBorder="1" applyAlignment="1">
      <alignment horizontal="left" indent="2"/>
    </xf>
    <xf numFmtId="168" fontId="11" fillId="14" borderId="157" xfId="0" applyNumberFormat="1" applyFont="1" applyFill="1" applyBorder="1" applyAlignment="1">
      <alignment vertical="center"/>
    </xf>
    <xf numFmtId="0" fontId="18" fillId="0" borderId="0" xfId="0" applyFont="1" applyAlignment="1">
      <alignment horizontal="left" indent="1"/>
    </xf>
    <xf numFmtId="168" fontId="0" fillId="0" borderId="0" xfId="2" applyNumberFormat="1" applyFont="1" applyBorder="1" applyProtection="1"/>
    <xf numFmtId="0" fontId="0" fillId="0" borderId="0" xfId="0" applyAlignment="1">
      <alignment horizontal="center"/>
    </xf>
    <xf numFmtId="167" fontId="0" fillId="0" borderId="0" xfId="2" applyFont="1" applyProtection="1"/>
    <xf numFmtId="0" fontId="11" fillId="14" borderId="59" xfId="0" applyFont="1" applyFill="1" applyBorder="1"/>
    <xf numFmtId="197" fontId="11" fillId="14" borderId="59" xfId="0" applyNumberFormat="1" applyFont="1" applyFill="1" applyBorder="1"/>
    <xf numFmtId="167" fontId="0" fillId="0" borderId="0" xfId="2" applyFont="1" applyBorder="1" applyProtection="1"/>
    <xf numFmtId="167" fontId="0" fillId="0" borderId="0" xfId="2" applyFont="1" applyBorder="1" applyAlignment="1" applyProtection="1">
      <alignment horizontal="center"/>
    </xf>
    <xf numFmtId="0" fontId="6" fillId="4" borderId="0" xfId="0" applyFont="1" applyFill="1"/>
    <xf numFmtId="0" fontId="6" fillId="15" borderId="0" xfId="0" applyFont="1" applyFill="1"/>
    <xf numFmtId="167" fontId="18" fillId="0" borderId="0" xfId="0" applyNumberFormat="1" applyFont="1"/>
    <xf numFmtId="167" fontId="0" fillId="0" borderId="0" xfId="2" applyFont="1" applyAlignment="1" applyProtection="1">
      <alignment horizontal="center"/>
    </xf>
    <xf numFmtId="0" fontId="0" fillId="3" borderId="15" xfId="0" applyFill="1" applyBorder="1" applyAlignment="1">
      <alignment horizontal="left"/>
    </xf>
    <xf numFmtId="0" fontId="0" fillId="3" borderId="37" xfId="0" applyFill="1" applyBorder="1"/>
    <xf numFmtId="0" fontId="6" fillId="3" borderId="34" xfId="0" applyFont="1" applyFill="1" applyBorder="1" applyAlignment="1">
      <alignment horizontal="left"/>
    </xf>
    <xf numFmtId="167" fontId="6" fillId="3" borderId="7" xfId="2" applyFont="1" applyFill="1" applyBorder="1" applyAlignment="1" applyProtection="1">
      <alignment horizontal="center"/>
    </xf>
    <xf numFmtId="0" fontId="6" fillId="5" borderId="7" xfId="0" applyFont="1" applyFill="1" applyBorder="1" applyAlignment="1">
      <alignment horizontal="left"/>
    </xf>
    <xf numFmtId="0" fontId="6" fillId="11" borderId="7" xfId="0" applyFont="1" applyFill="1" applyBorder="1" applyAlignment="1">
      <alignment horizontal="left"/>
    </xf>
    <xf numFmtId="0" fontId="6" fillId="11" borderId="13" xfId="0" applyFont="1" applyFill="1" applyBorder="1"/>
    <xf numFmtId="0" fontId="6" fillId="11" borderId="17" xfId="0" applyFont="1" applyFill="1" applyBorder="1"/>
    <xf numFmtId="168" fontId="6" fillId="11" borderId="7" xfId="2" applyNumberFormat="1" applyFont="1" applyFill="1" applyBorder="1" applyProtection="1"/>
    <xf numFmtId="167" fontId="6" fillId="11" borderId="7" xfId="2" applyFont="1" applyFill="1" applyBorder="1" applyProtection="1"/>
    <xf numFmtId="0" fontId="6" fillId="0" borderId="7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0" fillId="0" borderId="17" xfId="0" applyBorder="1" applyAlignment="1">
      <alignment horizontal="left" indent="2"/>
    </xf>
    <xf numFmtId="10" fontId="124" fillId="69" borderId="161" xfId="0" applyNumberFormat="1" applyFont="1" applyFill="1" applyBorder="1" applyAlignment="1">
      <alignment horizontal="center"/>
    </xf>
    <xf numFmtId="167" fontId="4" fillId="0" borderId="26" xfId="2" applyFont="1" applyFill="1" applyBorder="1" applyAlignment="1" applyProtection="1">
      <alignment horizontal="center"/>
    </xf>
    <xf numFmtId="167" fontId="0" fillId="0" borderId="0" xfId="0" applyNumberFormat="1" applyAlignment="1">
      <alignment horizontal="center"/>
    </xf>
    <xf numFmtId="0" fontId="6" fillId="0" borderId="26" xfId="0" applyFont="1" applyBorder="1" applyAlignment="1">
      <alignment horizontal="left"/>
    </xf>
    <xf numFmtId="0" fontId="6" fillId="0" borderId="106" xfId="0" applyFont="1" applyBorder="1" applyAlignment="1">
      <alignment horizontal="left"/>
    </xf>
    <xf numFmtId="10" fontId="8" fillId="3" borderId="123" xfId="0" applyNumberFormat="1" applyFont="1" applyFill="1" applyBorder="1" applyAlignment="1">
      <alignment horizontal="center"/>
    </xf>
    <xf numFmtId="167" fontId="4" fillId="0" borderId="116" xfId="2" applyFont="1" applyFill="1" applyBorder="1" applyAlignment="1" applyProtection="1">
      <alignment horizontal="center"/>
    </xf>
    <xf numFmtId="0" fontId="0" fillId="0" borderId="21" xfId="0" applyBorder="1" applyAlignment="1">
      <alignment horizontal="left"/>
    </xf>
    <xf numFmtId="0" fontId="0" fillId="0" borderId="19" xfId="0" applyBorder="1" applyAlignment="1">
      <alignment horizontal="left" indent="2"/>
    </xf>
    <xf numFmtId="0" fontId="0" fillId="0" borderId="77" xfId="0" applyBorder="1" applyAlignment="1">
      <alignment horizontal="left" indent="2"/>
    </xf>
    <xf numFmtId="10" fontId="124" fillId="69" borderId="118" xfId="0" applyNumberFormat="1" applyFont="1" applyFill="1" applyBorder="1" applyAlignment="1">
      <alignment horizontal="center"/>
    </xf>
    <xf numFmtId="167" fontId="4" fillId="0" borderId="18" xfId="2" applyFont="1" applyFill="1" applyBorder="1" applyAlignment="1" applyProtection="1">
      <alignment horizontal="center"/>
    </xf>
    <xf numFmtId="10" fontId="8" fillId="3" borderId="118" xfId="0" applyNumberFormat="1" applyFont="1" applyFill="1" applyBorder="1" applyAlignment="1">
      <alignment horizontal="center"/>
    </xf>
    <xf numFmtId="0" fontId="0" fillId="0" borderId="19" xfId="0" applyBorder="1" applyAlignment="1">
      <alignment horizontal="left" indent="4"/>
    </xf>
    <xf numFmtId="167" fontId="4" fillId="0" borderId="21" xfId="2" applyFont="1" applyFill="1" applyBorder="1" applyAlignment="1" applyProtection="1">
      <alignment horizontal="center"/>
    </xf>
    <xf numFmtId="0" fontId="0" fillId="0" borderId="136" xfId="0" applyBorder="1" applyAlignment="1">
      <alignment horizontal="left"/>
    </xf>
    <xf numFmtId="0" fontId="0" fillId="0" borderId="20" xfId="0" applyBorder="1" applyAlignment="1">
      <alignment horizontal="left" indent="4"/>
    </xf>
    <xf numFmtId="0" fontId="0" fillId="0" borderId="104" xfId="0" applyBorder="1" applyAlignment="1">
      <alignment horizontal="left" indent="2"/>
    </xf>
    <xf numFmtId="167" fontId="4" fillId="0" borderId="121" xfId="2" applyFont="1" applyFill="1" applyBorder="1" applyAlignment="1" applyProtection="1">
      <alignment horizontal="center"/>
    </xf>
    <xf numFmtId="10" fontId="8" fillId="3" borderId="124" xfId="0" applyNumberFormat="1" applyFont="1" applyFill="1" applyBorder="1" applyAlignment="1">
      <alignment horizontal="center"/>
    </xf>
    <xf numFmtId="167" fontId="4" fillId="0" borderId="109" xfId="2" applyFont="1" applyFill="1" applyBorder="1" applyAlignment="1" applyProtection="1">
      <alignment horizontal="center"/>
    </xf>
    <xf numFmtId="0" fontId="0" fillId="0" borderId="19" xfId="0" applyBorder="1" applyAlignment="1">
      <alignment horizontal="left" indent="5"/>
    </xf>
    <xf numFmtId="0" fontId="0" fillId="0" borderId="31" xfId="0" applyBorder="1" applyAlignment="1">
      <alignment horizontal="left" indent="5"/>
    </xf>
    <xf numFmtId="0" fontId="6" fillId="0" borderId="123" xfId="0" applyFont="1" applyBorder="1" applyAlignment="1">
      <alignment horizontal="left"/>
    </xf>
    <xf numFmtId="0" fontId="6" fillId="0" borderId="114" xfId="0" applyFont="1" applyBorder="1" applyAlignment="1">
      <alignment horizontal="left"/>
    </xf>
    <xf numFmtId="0" fontId="6" fillId="0" borderId="40" xfId="0" applyFont="1" applyBorder="1" applyAlignment="1">
      <alignment horizontal="left"/>
    </xf>
    <xf numFmtId="10" fontId="116" fillId="6" borderId="108" xfId="0" applyNumberFormat="1" applyFont="1" applyFill="1" applyBorder="1" applyAlignment="1">
      <alignment horizontal="center"/>
    </xf>
    <xf numFmtId="0" fontId="6" fillId="0" borderId="118" xfId="0" applyFont="1" applyBorder="1" applyAlignment="1">
      <alignment horizontal="left"/>
    </xf>
    <xf numFmtId="0" fontId="0" fillId="0" borderId="118" xfId="0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124" xfId="0" applyFont="1" applyBorder="1" applyAlignment="1">
      <alignment horizontal="left"/>
    </xf>
    <xf numFmtId="0" fontId="0" fillId="0" borderId="45" xfId="0" applyBorder="1" applyAlignment="1">
      <alignment horizontal="left"/>
    </xf>
    <xf numFmtId="167" fontId="4" fillId="0" borderId="108" xfId="2" applyFont="1" applyFill="1" applyBorder="1" applyProtection="1"/>
    <xf numFmtId="167" fontId="4" fillId="0" borderId="28" xfId="2" applyFont="1" applyFill="1" applyBorder="1" applyProtection="1"/>
    <xf numFmtId="167" fontId="4" fillId="0" borderId="116" xfId="2" applyFont="1" applyFill="1" applyBorder="1" applyProtection="1"/>
    <xf numFmtId="0" fontId="0" fillId="0" borderId="124" xfId="0" applyBorder="1" applyAlignment="1">
      <alignment horizontal="left"/>
    </xf>
    <xf numFmtId="0" fontId="0" fillId="0" borderId="154" xfId="0" applyBorder="1" applyAlignment="1">
      <alignment horizontal="left"/>
    </xf>
    <xf numFmtId="0" fontId="6" fillId="0" borderId="114" xfId="0" applyFont="1" applyBorder="1"/>
    <xf numFmtId="0" fontId="6" fillId="0" borderId="41" xfId="0" applyFont="1" applyBorder="1"/>
    <xf numFmtId="0" fontId="6" fillId="0" borderId="41" xfId="0" applyFont="1" applyBorder="1" applyAlignment="1">
      <alignment horizontal="left"/>
    </xf>
    <xf numFmtId="0" fontId="6" fillId="0" borderId="138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22" xfId="0" applyFont="1" applyBorder="1"/>
    <xf numFmtId="0" fontId="6" fillId="0" borderId="103" xfId="0" applyFont="1" applyBorder="1"/>
    <xf numFmtId="10" fontId="8" fillId="3" borderId="137" xfId="0" applyNumberFormat="1" applyFont="1" applyFill="1" applyBorder="1" applyAlignment="1">
      <alignment horizontal="center"/>
    </xf>
    <xf numFmtId="167" fontId="8" fillId="0" borderId="115" xfId="2" applyFont="1" applyFill="1" applyBorder="1" applyAlignment="1" applyProtection="1">
      <alignment horizontal="center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 indent="2"/>
    </xf>
    <xf numFmtId="167" fontId="8" fillId="0" borderId="117" xfId="2" applyFont="1" applyFill="1" applyBorder="1" applyAlignment="1" applyProtection="1">
      <alignment horizontal="center"/>
    </xf>
    <xf numFmtId="0" fontId="0" fillId="0" borderId="18" xfId="0" applyBorder="1" applyAlignment="1">
      <alignment horizontal="left"/>
    </xf>
    <xf numFmtId="0" fontId="0" fillId="0" borderId="41" xfId="0" applyBorder="1" applyAlignment="1">
      <alignment horizontal="left" indent="2"/>
    </xf>
    <xf numFmtId="10" fontId="116" fillId="6" borderId="118" xfId="0" applyNumberFormat="1" applyFont="1" applyFill="1" applyBorder="1" applyAlignment="1">
      <alignment horizontal="center"/>
    </xf>
    <xf numFmtId="167" fontId="4" fillId="0" borderId="18" xfId="2" applyFont="1" applyFill="1" applyBorder="1" applyProtection="1"/>
    <xf numFmtId="0" fontId="6" fillId="0" borderId="19" xfId="0" applyFont="1" applyBorder="1" applyAlignment="1">
      <alignment horizontal="left" indent="4"/>
    </xf>
    <xf numFmtId="0" fontId="0" fillId="0" borderId="19" xfId="0" applyBorder="1" applyAlignment="1">
      <alignment horizontal="left" indent="6"/>
    </xf>
    <xf numFmtId="0" fontId="0" fillId="0" borderId="19" xfId="0" applyBorder="1" applyAlignment="1">
      <alignment horizontal="left" indent="8"/>
    </xf>
    <xf numFmtId="0" fontId="9" fillId="0" borderId="19" xfId="0" applyFont="1" applyBorder="1" applyAlignment="1">
      <alignment horizontal="left" indent="4"/>
    </xf>
    <xf numFmtId="0" fontId="0" fillId="0" borderId="41" xfId="0" applyBorder="1" applyAlignment="1">
      <alignment horizontal="left" indent="6"/>
    </xf>
    <xf numFmtId="0" fontId="9" fillId="0" borderId="18" xfId="0" applyFont="1" applyBorder="1" applyAlignment="1">
      <alignment horizontal="left"/>
    </xf>
    <xf numFmtId="0" fontId="9" fillId="0" borderId="41" xfId="0" applyFont="1" applyBorder="1"/>
    <xf numFmtId="0" fontId="9" fillId="0" borderId="109" xfId="0" applyFont="1" applyBorder="1" applyAlignment="1">
      <alignment horizontal="left"/>
    </xf>
    <xf numFmtId="0" fontId="6" fillId="0" borderId="109" xfId="0" applyFont="1" applyBorder="1" applyAlignment="1">
      <alignment horizontal="left"/>
    </xf>
    <xf numFmtId="0" fontId="6" fillId="0" borderId="106" xfId="0" applyFont="1" applyBorder="1" applyAlignment="1">
      <alignment horizontal="left" indent="2"/>
    </xf>
    <xf numFmtId="0" fontId="0" fillId="0" borderId="109" xfId="0" applyBorder="1" applyAlignment="1">
      <alignment horizontal="left"/>
    </xf>
    <xf numFmtId="0" fontId="0" fillId="0" borderId="106" xfId="0" applyBorder="1" applyAlignment="1">
      <alignment horizontal="left" indent="3"/>
    </xf>
    <xf numFmtId="10" fontId="116" fillId="6" borderId="123" xfId="0" applyNumberFormat="1" applyFont="1" applyFill="1" applyBorder="1" applyAlignment="1">
      <alignment horizontal="center"/>
    </xf>
    <xf numFmtId="0" fontId="0" fillId="0" borderId="19" xfId="0" applyBorder="1" applyAlignment="1">
      <alignment horizontal="left" indent="7"/>
    </xf>
    <xf numFmtId="0" fontId="9" fillId="0" borderId="118" xfId="0" applyFont="1" applyBorder="1" applyAlignment="1">
      <alignment horizontal="left"/>
    </xf>
    <xf numFmtId="10" fontId="9" fillId="6" borderId="118" xfId="0" applyNumberFormat="1" applyFont="1" applyFill="1" applyBorder="1" applyAlignment="1">
      <alignment horizontal="center"/>
    </xf>
    <xf numFmtId="0" fontId="8" fillId="0" borderId="41" xfId="0" applyFont="1" applyBorder="1" applyAlignment="1">
      <alignment horizontal="left"/>
    </xf>
    <xf numFmtId="10" fontId="116" fillId="6" borderId="38" xfId="0" applyNumberFormat="1" applyFont="1" applyFill="1" applyBorder="1" applyAlignment="1">
      <alignment horizontal="center"/>
    </xf>
    <xf numFmtId="0" fontId="0" fillId="0" borderId="125" xfId="0" applyBorder="1" applyAlignment="1">
      <alignment horizontal="left"/>
    </xf>
    <xf numFmtId="0" fontId="6" fillId="0" borderId="108" xfId="0" applyFont="1" applyBorder="1" applyAlignment="1">
      <alignment horizontal="left"/>
    </xf>
    <xf numFmtId="10" fontId="9" fillId="6" borderId="123" xfId="0" applyNumberFormat="1" applyFont="1" applyFill="1" applyBorder="1" applyAlignment="1">
      <alignment horizontal="center"/>
    </xf>
    <xf numFmtId="167" fontId="8" fillId="0" borderId="108" xfId="2" applyFont="1" applyFill="1" applyBorder="1" applyProtection="1"/>
    <xf numFmtId="167" fontId="8" fillId="0" borderId="28" xfId="2" applyFont="1" applyFill="1" applyBorder="1" applyProtection="1"/>
    <xf numFmtId="0" fontId="0" fillId="0" borderId="28" xfId="0" applyBorder="1" applyAlignment="1">
      <alignment horizontal="left"/>
    </xf>
    <xf numFmtId="0" fontId="0" fillId="0" borderId="132" xfId="0" applyBorder="1" applyAlignment="1">
      <alignment horizontal="left" indent="2"/>
    </xf>
    <xf numFmtId="0" fontId="6" fillId="0" borderId="48" xfId="0" applyFont="1" applyBorder="1" applyAlignment="1">
      <alignment horizontal="left" indent="2"/>
    </xf>
    <xf numFmtId="0" fontId="0" fillId="0" borderId="48" xfId="0" applyBorder="1" applyAlignment="1">
      <alignment horizontal="left" indent="6"/>
    </xf>
    <xf numFmtId="0" fontId="9" fillId="0" borderId="28" xfId="0" applyFont="1" applyBorder="1" applyAlignment="1">
      <alignment horizontal="left"/>
    </xf>
    <xf numFmtId="0" fontId="9" fillId="0" borderId="132" xfId="0" applyFont="1" applyBorder="1"/>
    <xf numFmtId="0" fontId="0" fillId="0" borderId="48" xfId="0" applyBorder="1" applyAlignment="1">
      <alignment horizontal="left" indent="4"/>
    </xf>
    <xf numFmtId="10" fontId="9" fillId="6" borderId="143" xfId="0" applyNumberFormat="1" applyFont="1" applyFill="1" applyBorder="1" applyAlignment="1">
      <alignment horizontal="center"/>
    </xf>
    <xf numFmtId="10" fontId="9" fillId="6" borderId="106" xfId="0" applyNumberFormat="1" applyFont="1" applyFill="1" applyBorder="1" applyAlignment="1">
      <alignment horizontal="center"/>
    </xf>
    <xf numFmtId="0" fontId="6" fillId="0" borderId="40" xfId="0" applyFont="1" applyBorder="1"/>
    <xf numFmtId="0" fontId="0" fillId="0" borderId="122" xfId="0" applyBorder="1" applyAlignment="1">
      <alignment horizontal="left"/>
    </xf>
    <xf numFmtId="0" fontId="0" fillId="0" borderId="139" xfId="0" applyBorder="1" applyAlignment="1">
      <alignment horizontal="left" indent="2"/>
    </xf>
    <xf numFmtId="0" fontId="0" fillId="0" borderId="42" xfId="0" applyBorder="1" applyAlignment="1">
      <alignment horizontal="left" indent="2"/>
    </xf>
    <xf numFmtId="0" fontId="6" fillId="0" borderId="149" xfId="0" applyFont="1" applyBorder="1" applyAlignment="1">
      <alignment horizontal="left"/>
    </xf>
    <xf numFmtId="0" fontId="6" fillId="0" borderId="150" xfId="0" applyFont="1" applyBorder="1" applyAlignment="1">
      <alignment horizontal="left"/>
    </xf>
    <xf numFmtId="0" fontId="6" fillId="0" borderId="152" xfId="0" applyFont="1" applyBorder="1" applyAlignment="1">
      <alignment horizontal="left"/>
    </xf>
    <xf numFmtId="0" fontId="0" fillId="0" borderId="41" xfId="0" applyBorder="1" applyAlignment="1">
      <alignment horizontal="left" indent="4"/>
    </xf>
    <xf numFmtId="0" fontId="6" fillId="0" borderId="125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44" xfId="0" applyFont="1" applyBorder="1" applyAlignment="1">
      <alignment horizontal="left"/>
    </xf>
    <xf numFmtId="0" fontId="6" fillId="0" borderId="107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0" fontId="0" fillId="0" borderId="0" xfId="0" applyAlignment="1">
      <alignment vertical="center"/>
    </xf>
    <xf numFmtId="0" fontId="9" fillId="4" borderId="0" xfId="0" applyFont="1" applyFill="1"/>
    <xf numFmtId="0" fontId="9" fillId="14" borderId="0" xfId="0" applyFont="1" applyFill="1"/>
    <xf numFmtId="0" fontId="6" fillId="3" borderId="24" xfId="0" applyFont="1" applyFill="1" applyBorder="1"/>
    <xf numFmtId="0" fontId="6" fillId="3" borderId="55" xfId="0" applyFont="1" applyFill="1" applyBorder="1" applyAlignment="1">
      <alignment horizontal="center" wrapText="1"/>
    </xf>
    <xf numFmtId="0" fontId="6" fillId="3" borderId="24" xfId="0" applyFont="1" applyFill="1" applyBorder="1" applyAlignment="1">
      <alignment horizontal="center"/>
    </xf>
    <xf numFmtId="0" fontId="6" fillId="5" borderId="24" xfId="0" applyFont="1" applyFill="1" applyBorder="1"/>
    <xf numFmtId="168" fontId="4" fillId="5" borderId="55" xfId="2" applyNumberFormat="1" applyFont="1" applyFill="1" applyBorder="1" applyAlignment="1" applyProtection="1">
      <alignment vertical="center"/>
    </xf>
    <xf numFmtId="168" fontId="4" fillId="5" borderId="24" xfId="2" applyNumberFormat="1" applyFont="1" applyFill="1" applyBorder="1" applyAlignment="1" applyProtection="1">
      <alignment vertical="center"/>
    </xf>
    <xf numFmtId="0" fontId="0" fillId="0" borderId="128" xfId="0" applyBorder="1" applyAlignment="1">
      <alignment horizontal="left" indent="3"/>
    </xf>
    <xf numFmtId="0" fontId="0" fillId="0" borderId="64" xfId="0" applyBorder="1" applyAlignment="1">
      <alignment horizontal="left" indent="3"/>
    </xf>
    <xf numFmtId="0" fontId="0" fillId="0" borderId="68" xfId="0" applyBorder="1" applyAlignment="1">
      <alignment horizontal="left" indent="3"/>
    </xf>
    <xf numFmtId="0" fontId="6" fillId="3" borderId="50" xfId="0" applyFont="1" applyFill="1" applyBorder="1"/>
    <xf numFmtId="0" fontId="6" fillId="3" borderId="79" xfId="0" applyFont="1" applyFill="1" applyBorder="1" applyAlignment="1">
      <alignment horizontal="center" wrapText="1"/>
    </xf>
    <xf numFmtId="0" fontId="6" fillId="3" borderId="50" xfId="0" applyFont="1" applyFill="1" applyBorder="1" applyAlignment="1">
      <alignment horizontal="center"/>
    </xf>
    <xf numFmtId="0" fontId="6" fillId="3" borderId="24" xfId="0" applyFont="1" applyFill="1" applyBorder="1" applyAlignment="1">
      <alignment horizontal="center" wrapText="1"/>
    </xf>
    <xf numFmtId="0" fontId="6" fillId="5" borderId="24" xfId="0" applyFont="1" applyFill="1" applyBorder="1" applyAlignment="1">
      <alignment horizontal="center"/>
    </xf>
    <xf numFmtId="168" fontId="6" fillId="5" borderId="24" xfId="2" applyNumberFormat="1" applyFont="1" applyFill="1" applyBorder="1" applyAlignment="1" applyProtection="1">
      <alignment horizontal="center"/>
    </xf>
    <xf numFmtId="167" fontId="0" fillId="0" borderId="74" xfId="2" applyFont="1" applyFill="1" applyBorder="1" applyAlignment="1" applyProtection="1">
      <alignment horizontal="center"/>
    </xf>
    <xf numFmtId="169" fontId="124" fillId="69" borderId="118" xfId="0" applyNumberFormat="1" applyFont="1" applyFill="1" applyBorder="1" applyAlignment="1">
      <alignment horizontal="center"/>
    </xf>
    <xf numFmtId="167" fontId="0" fillId="0" borderId="57" xfId="2" applyFont="1" applyFill="1" applyBorder="1" applyAlignment="1" applyProtection="1">
      <alignment horizontal="center"/>
    </xf>
    <xf numFmtId="167" fontId="0" fillId="0" borderId="75" xfId="2" applyFont="1" applyFill="1" applyBorder="1" applyAlignment="1" applyProtection="1">
      <alignment horizontal="center"/>
    </xf>
    <xf numFmtId="169" fontId="124" fillId="69" borderId="159" xfId="0" applyNumberFormat="1" applyFont="1" applyFill="1" applyBorder="1" applyAlignment="1">
      <alignment horizontal="center"/>
    </xf>
    <xf numFmtId="167" fontId="0" fillId="0" borderId="160" xfId="2" applyFont="1" applyFill="1" applyBorder="1" applyAlignment="1" applyProtection="1">
      <alignment horizontal="center"/>
    </xf>
    <xf numFmtId="0" fontId="9" fillId="3" borderId="50" xfId="0" applyFont="1" applyFill="1" applyBorder="1" applyAlignment="1">
      <alignment horizontal="center" vertical="center" wrapText="1"/>
    </xf>
    <xf numFmtId="0" fontId="6" fillId="11" borderId="50" xfId="0" applyFont="1" applyFill="1" applyBorder="1"/>
    <xf numFmtId="167" fontId="6" fillId="11" borderId="50" xfId="2" applyFont="1" applyFill="1" applyBorder="1" applyProtection="1"/>
    <xf numFmtId="0" fontId="6" fillId="11" borderId="24" xfId="0" applyFont="1" applyFill="1" applyBorder="1"/>
    <xf numFmtId="0" fontId="9" fillId="0" borderId="0" xfId="0" applyFont="1" applyAlignment="1">
      <alignment horizontal="right"/>
    </xf>
    <xf numFmtId="0" fontId="0" fillId="15" borderId="0" xfId="0" applyFill="1"/>
    <xf numFmtId="0" fontId="8" fillId="0" borderId="72" xfId="0" applyFont="1" applyBorder="1"/>
    <xf numFmtId="167" fontId="8" fillId="0" borderId="73" xfId="2" applyFont="1" applyFill="1" applyBorder="1" applyProtection="1"/>
    <xf numFmtId="167" fontId="8" fillId="0" borderId="52" xfId="2" applyFont="1" applyFill="1" applyBorder="1" applyProtection="1"/>
    <xf numFmtId="0" fontId="8" fillId="0" borderId="74" xfId="0" applyFont="1" applyBorder="1"/>
    <xf numFmtId="167" fontId="8" fillId="0" borderId="44" xfId="2" applyFont="1" applyFill="1" applyBorder="1" applyProtection="1"/>
    <xf numFmtId="167" fontId="8" fillId="0" borderId="53" xfId="2" applyFont="1" applyFill="1" applyBorder="1" applyProtection="1"/>
    <xf numFmtId="0" fontId="8" fillId="0" borderId="75" xfId="0" applyFont="1" applyBorder="1"/>
    <xf numFmtId="167" fontId="8" fillId="0" borderId="76" xfId="2" applyFont="1" applyFill="1" applyBorder="1" applyProtection="1"/>
    <xf numFmtId="167" fontId="8" fillId="0" borderId="54" xfId="2" applyFont="1" applyFill="1" applyBorder="1" applyProtection="1"/>
    <xf numFmtId="167" fontId="8" fillId="0" borderId="0" xfId="2" applyFont="1" applyFill="1" applyBorder="1" applyProtection="1"/>
    <xf numFmtId="0" fontId="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4" fillId="0" borderId="0" xfId="0" applyFont="1" applyAlignment="1">
      <alignment horizontal="left"/>
    </xf>
    <xf numFmtId="0" fontId="9" fillId="3" borderId="25" xfId="0" applyFont="1" applyFill="1" applyBorder="1" applyAlignment="1">
      <alignment horizontal="left" vertical="center"/>
    </xf>
    <xf numFmtId="0" fontId="8" fillId="3" borderId="55" xfId="0" applyFont="1" applyFill="1" applyBorder="1" applyAlignment="1">
      <alignment horizontal="left"/>
    </xf>
    <xf numFmtId="0" fontId="8" fillId="3" borderId="59" xfId="0" applyFont="1" applyFill="1" applyBorder="1" applyAlignment="1">
      <alignment horizontal="left"/>
    </xf>
    <xf numFmtId="0" fontId="9" fillId="3" borderId="55" xfId="0" applyFont="1" applyFill="1" applyBorder="1" applyAlignment="1">
      <alignment horizontal="left" vertical="center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0" fillId="11" borderId="24" xfId="0" applyFill="1" applyBorder="1"/>
    <xf numFmtId="168" fontId="0" fillId="11" borderId="24" xfId="0" applyNumberFormat="1" applyFill="1" applyBorder="1"/>
    <xf numFmtId="0" fontId="0" fillId="0" borderId="60" xfId="0" applyBorder="1" applyAlignment="1">
      <alignment horizontal="center"/>
    </xf>
    <xf numFmtId="171" fontId="124" fillId="69" borderId="64" xfId="5" applyNumberFormat="1" applyFont="1" applyFill="1" applyBorder="1" applyAlignment="1" applyProtection="1">
      <alignment horizontal="center"/>
    </xf>
    <xf numFmtId="0" fontId="0" fillId="0" borderId="61" xfId="0" applyBorder="1"/>
    <xf numFmtId="0" fontId="0" fillId="0" borderId="62" xfId="0" applyBorder="1" applyAlignment="1">
      <alignment horizontal="center"/>
    </xf>
    <xf numFmtId="0" fontId="0" fillId="0" borderId="63" xfId="0" applyBorder="1"/>
    <xf numFmtId="0" fontId="0" fillId="0" borderId="128" xfId="0" applyBorder="1" applyAlignment="1">
      <alignment horizontal="center"/>
    </xf>
    <xf numFmtId="0" fontId="0" fillId="0" borderId="126" xfId="0" applyBorder="1"/>
    <xf numFmtId="0" fontId="0" fillId="0" borderId="127" xfId="0" applyBorder="1" applyAlignment="1">
      <alignment horizontal="center"/>
    </xf>
    <xf numFmtId="0" fontId="0" fillId="0" borderId="129" xfId="0" applyBorder="1"/>
    <xf numFmtId="0" fontId="0" fillId="0" borderId="64" xfId="0" applyBorder="1" applyAlignment="1">
      <alignment horizontal="center"/>
    </xf>
    <xf numFmtId="0" fontId="0" fillId="0" borderId="65" xfId="0" applyBorder="1"/>
    <xf numFmtId="0" fontId="0" fillId="0" borderId="66" xfId="0" applyBorder="1" applyAlignment="1">
      <alignment horizontal="center"/>
    </xf>
    <xf numFmtId="0" fontId="0" fillId="0" borderId="67" xfId="0" applyBorder="1"/>
    <xf numFmtId="0" fontId="0" fillId="0" borderId="68" xfId="0" applyBorder="1" applyAlignment="1">
      <alignment horizontal="center"/>
    </xf>
    <xf numFmtId="0" fontId="0" fillId="0" borderId="69" xfId="0" applyBorder="1"/>
    <xf numFmtId="0" fontId="0" fillId="0" borderId="70" xfId="0" applyBorder="1" applyAlignment="1">
      <alignment horizontal="center"/>
    </xf>
    <xf numFmtId="0" fontId="0" fillId="0" borderId="71" xfId="0" applyBorder="1"/>
    <xf numFmtId="0" fontId="8" fillId="3" borderId="55" xfId="0" applyFont="1" applyFill="1" applyBorder="1" applyAlignment="1">
      <alignment horizontal="center"/>
    </xf>
    <xf numFmtId="0" fontId="8" fillId="3" borderId="59" xfId="0" applyFont="1" applyFill="1" applyBorder="1" applyAlignment="1">
      <alignment horizontal="center"/>
    </xf>
    <xf numFmtId="0" fontId="6" fillId="11" borderId="25" xfId="0" applyFont="1" applyFill="1" applyBorder="1"/>
    <xf numFmtId="0" fontId="0" fillId="11" borderId="55" xfId="0" applyFill="1" applyBorder="1"/>
    <xf numFmtId="0" fontId="0" fillId="11" borderId="59" xfId="0" applyFill="1" applyBorder="1"/>
    <xf numFmtId="168" fontId="6" fillId="11" borderId="24" xfId="2" applyNumberFormat="1" applyFont="1" applyFill="1" applyBorder="1" applyProtection="1"/>
    <xf numFmtId="168" fontId="6" fillId="0" borderId="0" xfId="2" applyNumberFormat="1" applyFont="1" applyProtection="1"/>
    <xf numFmtId="10" fontId="124" fillId="69" borderId="60" xfId="0" applyNumberFormat="1" applyFont="1" applyFill="1" applyBorder="1" applyAlignment="1">
      <alignment horizontal="center"/>
    </xf>
    <xf numFmtId="171" fontId="0" fillId="0" borderId="60" xfId="5" applyNumberFormat="1" applyFont="1" applyBorder="1" applyAlignment="1" applyProtection="1">
      <alignment horizontal="center"/>
    </xf>
    <xf numFmtId="168" fontId="0" fillId="0" borderId="60" xfId="0" applyNumberFormat="1" applyBorder="1"/>
    <xf numFmtId="10" fontId="124" fillId="69" borderId="64" xfId="0" applyNumberFormat="1" applyFont="1" applyFill="1" applyBorder="1" applyAlignment="1">
      <alignment horizontal="center"/>
    </xf>
    <xf numFmtId="171" fontId="0" fillId="0" borderId="64" xfId="5" applyNumberFormat="1" applyFont="1" applyBorder="1" applyAlignment="1" applyProtection="1">
      <alignment horizontal="center"/>
    </xf>
    <xf numFmtId="168" fontId="0" fillId="0" borderId="64" xfId="0" applyNumberFormat="1" applyBorder="1"/>
    <xf numFmtId="171" fontId="0" fillId="0" borderId="68" xfId="5" applyNumberFormat="1" applyFont="1" applyBorder="1" applyAlignment="1" applyProtection="1">
      <alignment horizontal="center"/>
    </xf>
    <xf numFmtId="168" fontId="0" fillId="0" borderId="68" xfId="0" applyNumberFormat="1" applyBorder="1"/>
    <xf numFmtId="0" fontId="9" fillId="3" borderId="24" xfId="0" applyFont="1" applyFill="1" applyBorder="1" applyAlignment="1">
      <alignment horizontal="left" vertical="center"/>
    </xf>
    <xf numFmtId="171" fontId="124" fillId="69" borderId="60" xfId="5" applyNumberFormat="1" applyFont="1" applyFill="1" applyBorder="1" applyAlignment="1" applyProtection="1">
      <alignment horizontal="center"/>
    </xf>
    <xf numFmtId="9" fontId="0" fillId="0" borderId="60" xfId="5" applyFont="1" applyBorder="1" applyAlignment="1" applyProtection="1">
      <alignment horizontal="center"/>
    </xf>
    <xf numFmtId="9" fontId="0" fillId="0" borderId="64" xfId="5" applyFont="1" applyBorder="1" applyAlignment="1" applyProtection="1">
      <alignment horizontal="center"/>
    </xf>
    <xf numFmtId="171" fontId="124" fillId="69" borderId="68" xfId="5" applyNumberFormat="1" applyFont="1" applyFill="1" applyBorder="1" applyAlignment="1" applyProtection="1">
      <alignment horizontal="center"/>
    </xf>
    <xf numFmtId="9" fontId="0" fillId="0" borderId="68" xfId="5" applyFont="1" applyBorder="1" applyAlignment="1" applyProtection="1">
      <alignment horizontal="center"/>
    </xf>
    <xf numFmtId="171" fontId="0" fillId="0" borderId="0" xfId="0" applyNumberFormat="1"/>
    <xf numFmtId="171" fontId="7" fillId="4" borderId="64" xfId="0" applyNumberFormat="1" applyFont="1" applyFill="1" applyBorder="1" applyAlignment="1" applyProtection="1">
      <alignment horizontal="center"/>
      <protection locked="0"/>
    </xf>
    <xf numFmtId="171" fontId="7" fillId="4" borderId="68" xfId="0" applyNumberFormat="1" applyFont="1" applyFill="1" applyBorder="1" applyAlignment="1" applyProtection="1">
      <alignment horizontal="center"/>
      <protection locked="0"/>
    </xf>
    <xf numFmtId="0" fontId="9" fillId="3" borderId="59" xfId="0" applyFont="1" applyFill="1" applyBorder="1" applyAlignment="1">
      <alignment horizontal="center" vertical="center" wrapText="1"/>
    </xf>
    <xf numFmtId="168" fontId="6" fillId="11" borderId="59" xfId="2" applyNumberFormat="1" applyFont="1" applyFill="1" applyBorder="1" applyProtection="1"/>
    <xf numFmtId="0" fontId="8" fillId="0" borderId="126" xfId="0" applyFont="1" applyBorder="1"/>
    <xf numFmtId="168" fontId="8" fillId="0" borderId="142" xfId="2" applyNumberFormat="1" applyFont="1" applyFill="1" applyBorder="1" applyAlignment="1" applyProtection="1"/>
    <xf numFmtId="172" fontId="8" fillId="0" borderId="142" xfId="2" applyNumberFormat="1" applyFont="1" applyFill="1" applyBorder="1" applyAlignment="1" applyProtection="1">
      <alignment horizontal="center"/>
    </xf>
    <xf numFmtId="0" fontId="8" fillId="0" borderId="65" xfId="0" applyFont="1" applyBorder="1"/>
    <xf numFmtId="168" fontId="8" fillId="0" borderId="140" xfId="2" applyNumberFormat="1" applyFont="1" applyFill="1" applyBorder="1" applyAlignment="1" applyProtection="1"/>
    <xf numFmtId="172" fontId="8" fillId="0" borderId="140" xfId="2" applyNumberFormat="1" applyFont="1" applyFill="1" applyBorder="1" applyAlignment="1" applyProtection="1">
      <alignment horizontal="center"/>
    </xf>
    <xf numFmtId="168" fontId="8" fillId="0" borderId="141" xfId="2" applyNumberFormat="1" applyFont="1" applyFill="1" applyBorder="1" applyAlignment="1" applyProtection="1"/>
    <xf numFmtId="172" fontId="8" fillId="0" borderId="141" xfId="2" applyNumberFormat="1" applyFont="1" applyFill="1" applyBorder="1" applyAlignment="1" applyProtection="1">
      <alignment horizontal="center"/>
    </xf>
    <xf numFmtId="0" fontId="6" fillId="3" borderId="24" xfId="0" applyFont="1" applyFill="1" applyBorder="1" applyAlignment="1">
      <alignment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0" fillId="11" borderId="25" xfId="0" applyFill="1" applyBorder="1"/>
    <xf numFmtId="168" fontId="6" fillId="11" borderId="24" xfId="0" applyNumberFormat="1" applyFont="1" applyFill="1" applyBorder="1"/>
    <xf numFmtId="0" fontId="8" fillId="0" borderId="60" xfId="0" applyFont="1" applyBorder="1" applyAlignment="1">
      <alignment horizontal="left" vertical="center" wrapText="1"/>
    </xf>
    <xf numFmtId="168" fontId="0" fillId="0" borderId="60" xfId="2" applyNumberFormat="1" applyFont="1" applyFill="1" applyBorder="1" applyAlignment="1" applyProtection="1">
      <alignment horizontal="center"/>
    </xf>
    <xf numFmtId="0" fontId="7" fillId="0" borderId="0" xfId="0" applyFont="1" applyAlignment="1">
      <alignment horizontal="left"/>
    </xf>
    <xf numFmtId="0" fontId="8" fillId="0" borderId="68" xfId="0" applyFont="1" applyBorder="1" applyAlignment="1">
      <alignment horizontal="left" vertical="center" wrapText="1"/>
    </xf>
    <xf numFmtId="194" fontId="11" fillId="15" borderId="68" xfId="2" applyNumberFormat="1" applyFont="1" applyFill="1" applyBorder="1" applyAlignment="1" applyProtection="1">
      <alignment vertical="center"/>
    </xf>
    <xf numFmtId="168" fontId="0" fillId="0" borderId="68" xfId="2" applyNumberFormat="1" applyFont="1" applyFill="1" applyBorder="1" applyAlignment="1" applyProtection="1">
      <alignment horizontal="center"/>
    </xf>
    <xf numFmtId="0" fontId="0" fillId="0" borderId="0" xfId="0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11" fillId="14" borderId="14" xfId="0" applyFont="1" applyFill="1" applyBorder="1"/>
    <xf numFmtId="197" fontId="11" fillId="14" borderId="14" xfId="0" applyNumberFormat="1" applyFont="1" applyFill="1" applyBorder="1"/>
    <xf numFmtId="0" fontId="19" fillId="15" borderId="0" xfId="0" applyFont="1" applyFill="1"/>
    <xf numFmtId="0" fontId="6" fillId="5" borderId="6" xfId="0" applyFont="1" applyFill="1" applyBorder="1"/>
    <xf numFmtId="0" fontId="0" fillId="5" borderId="162" xfId="0" applyFill="1" applyBorder="1"/>
    <xf numFmtId="0" fontId="0" fillId="5" borderId="163" xfId="0" applyFill="1" applyBorder="1"/>
    <xf numFmtId="0" fontId="0" fillId="5" borderId="3" xfId="0" applyFill="1" applyBorder="1" applyAlignment="1">
      <alignment vertical="center"/>
    </xf>
    <xf numFmtId="0" fontId="0" fillId="5" borderId="0" xfId="0" applyFill="1" applyAlignment="1">
      <alignment wrapText="1"/>
    </xf>
    <xf numFmtId="0" fontId="0" fillId="5" borderId="164" xfId="0" applyFill="1" applyBorder="1" applyAlignment="1">
      <alignment wrapText="1"/>
    </xf>
    <xf numFmtId="0" fontId="0" fillId="5" borderId="3" xfId="0" quotePrefix="1" applyFill="1" applyBorder="1" applyAlignment="1">
      <alignment vertical="center"/>
    </xf>
    <xf numFmtId="0" fontId="0" fillId="5" borderId="0" xfId="0" applyFill="1"/>
    <xf numFmtId="0" fontId="0" fillId="5" borderId="164" xfId="0" applyFill="1" applyBorder="1"/>
    <xf numFmtId="0" fontId="0" fillId="5" borderId="165" xfId="0" quotePrefix="1" applyFill="1" applyBorder="1" applyAlignment="1">
      <alignment vertical="center"/>
    </xf>
    <xf numFmtId="0" fontId="0" fillId="5" borderId="2" xfId="0" applyFill="1" applyBorder="1"/>
    <xf numFmtId="0" fontId="0" fillId="5" borderId="166" xfId="0" applyFill="1" applyBorder="1"/>
    <xf numFmtId="0" fontId="6" fillId="3" borderId="167" xfId="0" applyFont="1" applyFill="1" applyBorder="1"/>
    <xf numFmtId="0" fontId="0" fillId="3" borderId="168" xfId="0" applyFill="1" applyBorder="1"/>
    <xf numFmtId="0" fontId="6" fillId="7" borderId="170" xfId="0" applyFont="1" applyFill="1" applyBorder="1"/>
    <xf numFmtId="0" fontId="6" fillId="7" borderId="59" xfId="0" applyFont="1" applyFill="1" applyBorder="1"/>
    <xf numFmtId="168" fontId="6" fillId="7" borderId="171" xfId="2" applyNumberFormat="1" applyFont="1" applyFill="1" applyBorder="1" applyAlignment="1" applyProtection="1">
      <alignment vertical="center"/>
    </xf>
    <xf numFmtId="0" fontId="0" fillId="0" borderId="172" xfId="0" applyBorder="1" applyAlignment="1">
      <alignment horizontal="left"/>
    </xf>
    <xf numFmtId="0" fontId="0" fillId="0" borderId="105" xfId="0" applyBorder="1" applyAlignment="1">
      <alignment horizontal="left"/>
    </xf>
    <xf numFmtId="0" fontId="0" fillId="0" borderId="174" xfId="0" applyBorder="1" applyAlignment="1">
      <alignment horizontal="left"/>
    </xf>
    <xf numFmtId="0" fontId="0" fillId="0" borderId="175" xfId="0" applyBorder="1" applyAlignment="1">
      <alignment horizontal="left"/>
    </xf>
    <xf numFmtId="0" fontId="6" fillId="0" borderId="156" xfId="0" applyFont="1" applyBorder="1" applyAlignment="1">
      <alignment horizontal="left"/>
    </xf>
    <xf numFmtId="1" fontId="0" fillId="0" borderId="0" xfId="0" applyNumberFormat="1"/>
    <xf numFmtId="168" fontId="6" fillId="3" borderId="8" xfId="2" applyNumberFormat="1" applyFont="1" applyFill="1" applyBorder="1" applyAlignment="1" applyProtection="1">
      <alignment horizontal="center"/>
    </xf>
    <xf numFmtId="0" fontId="6" fillId="0" borderId="146" xfId="0" applyFont="1" applyBorder="1"/>
    <xf numFmtId="169" fontId="0" fillId="0" borderId="146" xfId="0" applyNumberFormat="1" applyBorder="1"/>
    <xf numFmtId="0" fontId="6" fillId="0" borderId="147" xfId="0" applyFont="1" applyBorder="1"/>
    <xf numFmtId="169" fontId="0" fillId="0" borderId="147" xfId="0" applyNumberFormat="1" applyBorder="1"/>
    <xf numFmtId="0" fontId="6" fillId="0" borderId="30" xfId="0" applyFont="1" applyBorder="1"/>
    <xf numFmtId="169" fontId="0" fillId="0" borderId="30" xfId="0" applyNumberFormat="1" applyBorder="1"/>
    <xf numFmtId="171" fontId="8" fillId="66" borderId="64" xfId="5" applyNumberFormat="1" applyFont="1" applyFill="1" applyBorder="1" applyAlignment="1" applyProtection="1">
      <alignment horizontal="center"/>
    </xf>
    <xf numFmtId="168" fontId="7" fillId="4" borderId="24" xfId="0" applyNumberFormat="1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167" fontId="6" fillId="3" borderId="8" xfId="2" applyFont="1" applyFill="1" applyBorder="1" applyAlignment="1" applyProtection="1">
      <alignment horizontal="center" vertical="center"/>
    </xf>
    <xf numFmtId="167" fontId="6" fillId="3" borderId="148" xfId="2" applyFont="1" applyFill="1" applyBorder="1" applyAlignment="1" applyProtection="1">
      <alignment horizontal="center" vertical="center"/>
    </xf>
    <xf numFmtId="0" fontId="6" fillId="0" borderId="177" xfId="0" applyFont="1" applyBorder="1" applyAlignment="1">
      <alignment horizontal="left"/>
    </xf>
    <xf numFmtId="0" fontId="0" fillId="0" borderId="178" xfId="0" applyBorder="1" applyAlignment="1">
      <alignment horizontal="left" indent="2"/>
    </xf>
    <xf numFmtId="10" fontId="124" fillId="69" borderId="125" xfId="0" applyNumberFormat="1" applyFont="1" applyFill="1" applyBorder="1" applyAlignment="1">
      <alignment horizontal="center"/>
    </xf>
    <xf numFmtId="0" fontId="11" fillId="14" borderId="25" xfId="0" applyFont="1" applyFill="1" applyBorder="1" applyAlignment="1">
      <alignment horizontal="left"/>
    </xf>
    <xf numFmtId="197" fontId="11" fillId="14" borderId="25" xfId="0" applyNumberFormat="1" applyFont="1" applyFill="1" applyBorder="1" applyAlignment="1">
      <alignment horizontal="left"/>
    </xf>
    <xf numFmtId="0" fontId="11" fillId="14" borderId="13" xfId="0" applyFont="1" applyFill="1" applyBorder="1" applyAlignment="1">
      <alignment horizontal="left"/>
    </xf>
    <xf numFmtId="0" fontId="11" fillId="14" borderId="14" xfId="0" applyFont="1" applyFill="1" applyBorder="1" applyAlignment="1">
      <alignment horizontal="left"/>
    </xf>
    <xf numFmtId="197" fontId="11" fillId="14" borderId="13" xfId="0" applyNumberFormat="1" applyFont="1" applyFill="1" applyBorder="1" applyAlignment="1">
      <alignment horizontal="left"/>
    </xf>
    <xf numFmtId="197" fontId="11" fillId="14" borderId="14" xfId="0" applyNumberFormat="1" applyFont="1" applyFill="1" applyBorder="1" applyAlignment="1">
      <alignment horizontal="left"/>
    </xf>
    <xf numFmtId="10" fontId="124" fillId="69" borderId="122" xfId="0" applyNumberFormat="1" applyFont="1" applyFill="1" applyBorder="1" applyAlignment="1">
      <alignment horizontal="center"/>
    </xf>
    <xf numFmtId="168" fontId="7" fillId="68" borderId="18" xfId="2" applyNumberFormat="1" applyFont="1" applyFill="1" applyBorder="1" applyProtection="1">
      <protection locked="0"/>
    </xf>
    <xf numFmtId="168" fontId="7" fillId="68" borderId="136" xfId="2" applyNumberFormat="1" applyFont="1" applyFill="1" applyBorder="1" applyProtection="1">
      <protection locked="0"/>
    </xf>
    <xf numFmtId="167" fontId="7" fillId="68" borderId="120" xfId="2" applyFont="1" applyFill="1" applyBorder="1" applyProtection="1">
      <protection locked="0"/>
    </xf>
    <xf numFmtId="167" fontId="7" fillId="68" borderId="27" xfId="2" applyFont="1" applyFill="1" applyBorder="1" applyAlignment="1" applyProtection="1">
      <alignment horizontal="left" indent="2"/>
      <protection locked="0"/>
    </xf>
    <xf numFmtId="10" fontId="116" fillId="6" borderId="125" xfId="0" applyNumberFormat="1" applyFont="1" applyFill="1" applyBorder="1" applyAlignment="1">
      <alignment horizontal="center"/>
    </xf>
    <xf numFmtId="10" fontId="124" fillId="69" borderId="181" xfId="0" applyNumberFormat="1" applyFont="1" applyFill="1" applyBorder="1" applyAlignment="1">
      <alignment horizontal="center"/>
    </xf>
    <xf numFmtId="10" fontId="124" fillId="69" borderId="180" xfId="0" applyNumberFormat="1" applyFont="1" applyFill="1" applyBorder="1" applyAlignment="1">
      <alignment horizontal="center"/>
    </xf>
    <xf numFmtId="167" fontId="4" fillId="0" borderId="7" xfId="2" applyFont="1" applyFill="1" applyBorder="1" applyAlignment="1" applyProtection="1">
      <alignment horizontal="center"/>
    </xf>
    <xf numFmtId="167" fontId="4" fillId="0" borderId="7" xfId="2" applyFont="1" applyFill="1" applyBorder="1" applyProtection="1"/>
    <xf numFmtId="10" fontId="124" fillId="3" borderId="180" xfId="0" applyNumberFormat="1" applyFont="1" applyFill="1" applyBorder="1" applyAlignment="1">
      <alignment horizontal="center"/>
    </xf>
    <xf numFmtId="14" fontId="6" fillId="3" borderId="169" xfId="0" applyNumberFormat="1" applyFont="1" applyFill="1" applyBorder="1" applyAlignment="1">
      <alignment horizontal="center" vertical="center" wrapText="1"/>
    </xf>
    <xf numFmtId="167" fontId="8" fillId="0" borderId="182" xfId="2" applyFont="1" applyFill="1" applyBorder="1" applyAlignment="1" applyProtection="1">
      <alignment horizontal="center"/>
    </xf>
    <xf numFmtId="167" fontId="4" fillId="0" borderId="183" xfId="2" applyFont="1" applyFill="1" applyBorder="1" applyAlignment="1" applyProtection="1">
      <alignment horizontal="center"/>
    </xf>
    <xf numFmtId="167" fontId="8" fillId="0" borderId="184" xfId="2" applyFont="1" applyFill="1" applyBorder="1" applyProtection="1"/>
    <xf numFmtId="167" fontId="9" fillId="3" borderId="7" xfId="2" applyFont="1" applyFill="1" applyBorder="1" applyAlignment="1" applyProtection="1">
      <alignment horizontal="center"/>
    </xf>
    <xf numFmtId="10" fontId="124" fillId="69" borderId="68" xfId="0" applyNumberFormat="1" applyFont="1" applyFill="1" applyBorder="1" applyAlignment="1">
      <alignment horizontal="center"/>
    </xf>
    <xf numFmtId="9" fontId="124" fillId="69" borderId="60" xfId="5" applyFont="1" applyFill="1" applyBorder="1" applyAlignment="1" applyProtection="1">
      <alignment horizontal="center"/>
    </xf>
    <xf numFmtId="9" fontId="124" fillId="69" borderId="185" xfId="5" applyFont="1" applyFill="1" applyBorder="1" applyAlignment="1" applyProtection="1">
      <alignment horizontal="center"/>
    </xf>
    <xf numFmtId="9" fontId="124" fillId="69" borderId="128" xfId="5" applyFont="1" applyFill="1" applyBorder="1" applyAlignment="1" applyProtection="1">
      <alignment horizontal="center"/>
    </xf>
    <xf numFmtId="9" fontId="124" fillId="69" borderId="186" xfId="5" applyFont="1" applyFill="1" applyBorder="1" applyAlignment="1" applyProtection="1">
      <alignment horizontal="center"/>
    </xf>
    <xf numFmtId="9" fontId="124" fillId="69" borderId="64" xfId="5" applyFont="1" applyFill="1" applyBorder="1" applyAlignment="1" applyProtection="1">
      <alignment horizontal="center"/>
    </xf>
    <xf numFmtId="9" fontId="124" fillId="69" borderId="187" xfId="5" applyFont="1" applyFill="1" applyBorder="1" applyAlignment="1" applyProtection="1">
      <alignment horizontal="center"/>
    </xf>
    <xf numFmtId="9" fontId="124" fillId="69" borderId="68" xfId="5" applyFont="1" applyFill="1" applyBorder="1" applyAlignment="1" applyProtection="1">
      <alignment horizontal="center"/>
    </xf>
    <xf numFmtId="9" fontId="124" fillId="69" borderId="188" xfId="5" applyFont="1" applyFill="1" applyBorder="1" applyAlignment="1" applyProtection="1">
      <alignment horizontal="center"/>
    </xf>
    <xf numFmtId="10" fontId="11" fillId="69" borderId="118" xfId="0" applyNumberFormat="1" applyFont="1" applyFill="1" applyBorder="1" applyAlignment="1">
      <alignment horizontal="center"/>
    </xf>
    <xf numFmtId="167" fontId="11" fillId="14" borderId="7" xfId="2" applyFont="1" applyFill="1" applyBorder="1" applyProtection="1"/>
    <xf numFmtId="167" fontId="9" fillId="0" borderId="7" xfId="2" applyFont="1" applyFill="1" applyBorder="1" applyProtection="1"/>
    <xf numFmtId="168" fontId="11" fillId="14" borderId="189" xfId="0" applyNumberFormat="1" applyFont="1" applyFill="1" applyBorder="1" applyAlignment="1">
      <alignment vertical="center"/>
    </xf>
    <xf numFmtId="0" fontId="0" fillId="3" borderId="0" xfId="0" applyFill="1"/>
    <xf numFmtId="0" fontId="0" fillId="4" borderId="40" xfId="0" applyFill="1" applyBorder="1" applyProtection="1">
      <protection locked="0"/>
    </xf>
    <xf numFmtId="0" fontId="0" fillId="4" borderId="190" xfId="0" applyFill="1" applyBorder="1" applyProtection="1">
      <protection locked="0"/>
    </xf>
    <xf numFmtId="0" fontId="0" fillId="4" borderId="41" xfId="0" applyFill="1" applyBorder="1" applyProtection="1">
      <protection locked="0"/>
    </xf>
    <xf numFmtId="0" fontId="0" fillId="4" borderId="151" xfId="0" applyFill="1" applyBorder="1" applyProtection="1">
      <protection locked="0"/>
    </xf>
    <xf numFmtId="0" fontId="0" fillId="4" borderId="42" xfId="0" applyFill="1" applyBorder="1" applyProtection="1">
      <protection locked="0"/>
    </xf>
    <xf numFmtId="0" fontId="0" fillId="4" borderId="153" xfId="0" applyFill="1" applyBorder="1" applyProtection="1">
      <protection locked="0"/>
    </xf>
    <xf numFmtId="167" fontId="7" fillId="3" borderId="7" xfId="2" applyFont="1" applyFill="1" applyBorder="1" applyAlignment="1" applyProtection="1">
      <alignment horizontal="center"/>
    </xf>
    <xf numFmtId="167" fontId="7" fillId="3" borderId="119" xfId="2" applyFont="1" applyFill="1" applyBorder="1" applyAlignment="1" applyProtection="1">
      <alignment horizontal="center"/>
    </xf>
    <xf numFmtId="167" fontId="9" fillId="0" borderId="109" xfId="2" applyFont="1" applyFill="1" applyBorder="1" applyProtection="1"/>
    <xf numFmtId="167" fontId="7" fillId="3" borderId="28" xfId="2" applyFont="1" applyFill="1" applyBorder="1" applyAlignment="1" applyProtection="1">
      <alignment horizontal="center"/>
    </xf>
    <xf numFmtId="167" fontId="9" fillId="66" borderId="18" xfId="2" applyFont="1" applyFill="1" applyBorder="1" applyProtection="1"/>
    <xf numFmtId="167" fontId="7" fillId="3" borderId="29" xfId="2" applyFont="1" applyFill="1" applyBorder="1" applyAlignment="1" applyProtection="1">
      <alignment horizontal="center"/>
    </xf>
    <xf numFmtId="168" fontId="6" fillId="0" borderId="116" xfId="2" applyNumberFormat="1" applyFont="1" applyFill="1" applyBorder="1" applyProtection="1"/>
    <xf numFmtId="167" fontId="6" fillId="0" borderId="116" xfId="2" applyFont="1" applyFill="1" applyBorder="1" applyProtection="1"/>
    <xf numFmtId="167" fontId="7" fillId="3" borderId="108" xfId="2" applyFont="1" applyFill="1" applyBorder="1" applyAlignment="1" applyProtection="1">
      <alignment horizontal="center"/>
    </xf>
    <xf numFmtId="167" fontId="9" fillId="0" borderId="23" xfId="2" applyFont="1" applyFill="1" applyBorder="1" applyProtection="1"/>
    <xf numFmtId="167" fontId="9" fillId="0" borderId="18" xfId="2" applyFont="1" applyFill="1" applyBorder="1" applyProtection="1"/>
    <xf numFmtId="167" fontId="6" fillId="0" borderId="18" xfId="2" applyFont="1" applyFill="1" applyBorder="1" applyProtection="1"/>
    <xf numFmtId="167" fontId="8" fillId="66" borderId="18" xfId="2" applyFont="1" applyFill="1" applyBorder="1" applyProtection="1"/>
    <xf numFmtId="167" fontId="7" fillId="3" borderId="120" xfId="2" applyFont="1" applyFill="1" applyBorder="1" applyAlignment="1" applyProtection="1">
      <alignment horizontal="center"/>
    </xf>
    <xf numFmtId="167" fontId="9" fillId="0" borderId="18" xfId="2" applyFont="1" applyFill="1" applyBorder="1" applyAlignment="1" applyProtection="1">
      <alignment horizontal="left" indent="2"/>
    </xf>
    <xf numFmtId="168" fontId="6" fillId="0" borderId="145" xfId="2" applyNumberFormat="1" applyFont="1" applyFill="1" applyBorder="1" applyProtection="1"/>
    <xf numFmtId="167" fontId="9" fillId="0" borderId="108" xfId="2" applyFont="1" applyFill="1" applyBorder="1" applyProtection="1"/>
    <xf numFmtId="167" fontId="7" fillId="3" borderId="179" xfId="2" applyFont="1" applyFill="1" applyBorder="1" applyAlignment="1" applyProtection="1">
      <alignment horizontal="center"/>
    </xf>
    <xf numFmtId="167" fontId="6" fillId="0" borderId="179" xfId="2" applyFont="1" applyFill="1" applyBorder="1" applyProtection="1"/>
    <xf numFmtId="167" fontId="9" fillId="0" borderId="119" xfId="2" applyFont="1" applyFill="1" applyBorder="1" applyProtection="1"/>
    <xf numFmtId="0" fontId="7" fillId="0" borderId="0" xfId="0" applyFont="1" applyProtection="1">
      <protection locked="0"/>
    </xf>
    <xf numFmtId="0" fontId="6" fillId="4" borderId="43" xfId="0" applyFont="1" applyFill="1" applyBorder="1" applyAlignment="1" applyProtection="1">
      <alignment horizontal="left"/>
      <protection locked="0"/>
    </xf>
    <xf numFmtId="0" fontId="6" fillId="4" borderId="44" xfId="0" applyFont="1" applyFill="1" applyBorder="1" applyAlignment="1" applyProtection="1">
      <alignment horizontal="left"/>
      <protection locked="0"/>
    </xf>
    <xf numFmtId="0" fontId="6" fillId="4" borderId="191" xfId="0" applyFont="1" applyFill="1" applyBorder="1" applyAlignment="1" applyProtection="1">
      <alignment horizontal="left"/>
      <protection locked="0"/>
    </xf>
    <xf numFmtId="0" fontId="6" fillId="3" borderId="36" xfId="0" applyFont="1" applyFill="1" applyBorder="1" applyAlignment="1" applyProtection="1">
      <alignment horizontal="left"/>
      <protection locked="0"/>
    </xf>
    <xf numFmtId="0" fontId="6" fillId="3" borderId="47" xfId="0" applyFont="1" applyFill="1" applyBorder="1" applyProtection="1">
      <protection locked="0"/>
    </xf>
    <xf numFmtId="0" fontId="0" fillId="3" borderId="47" xfId="0" applyFill="1" applyBorder="1" applyProtection="1">
      <protection locked="0"/>
    </xf>
    <xf numFmtId="0" fontId="0" fillId="3" borderId="113" xfId="0" applyFill="1" applyBorder="1" applyProtection="1">
      <protection locked="0"/>
    </xf>
    <xf numFmtId="167" fontId="7" fillId="3" borderId="18" xfId="2" applyFont="1" applyFill="1" applyBorder="1" applyProtection="1">
      <protection locked="0"/>
    </xf>
    <xf numFmtId="0" fontId="6" fillId="66" borderId="139" xfId="0" applyFont="1" applyFill="1" applyBorder="1" applyAlignment="1">
      <alignment horizontal="left" indent="2"/>
    </xf>
    <xf numFmtId="0" fontId="6" fillId="66" borderId="13" xfId="0" applyFont="1" applyFill="1" applyBorder="1" applyAlignment="1">
      <alignment horizontal="left"/>
    </xf>
    <xf numFmtId="0" fontId="6" fillId="66" borderId="114" xfId="0" applyFont="1" applyFill="1" applyBorder="1" applyAlignment="1">
      <alignment horizontal="left"/>
    </xf>
    <xf numFmtId="0" fontId="7" fillId="4" borderId="36" xfId="0" applyFont="1" applyFill="1" applyBorder="1" applyProtection="1">
      <protection locked="0"/>
    </xf>
    <xf numFmtId="0" fontId="7" fillId="0" borderId="0" xfId="0" applyFont="1" applyAlignment="1">
      <alignment horizontal="center"/>
    </xf>
    <xf numFmtId="0" fontId="7" fillId="4" borderId="30" xfId="0" applyFont="1" applyFill="1" applyBorder="1" applyProtection="1">
      <protection locked="0"/>
    </xf>
    <xf numFmtId="0" fontId="0" fillId="4" borderId="192" xfId="0" applyFill="1" applyBorder="1" applyProtection="1">
      <protection locked="0"/>
    </xf>
    <xf numFmtId="0" fontId="0" fillId="4" borderId="193" xfId="0" applyFill="1" applyBorder="1" applyProtection="1">
      <protection locked="0"/>
    </xf>
    <xf numFmtId="0" fontId="0" fillId="4" borderId="194" xfId="0" applyFill="1" applyBorder="1" applyProtection="1">
      <protection locked="0"/>
    </xf>
    <xf numFmtId="0" fontId="0" fillId="4" borderId="195" xfId="0" applyFill="1" applyBorder="1" applyProtection="1">
      <protection locked="0"/>
    </xf>
    <xf numFmtId="0" fontId="128" fillId="4" borderId="196" xfId="0" applyFont="1" applyFill="1" applyBorder="1" applyProtection="1">
      <protection locked="0"/>
    </xf>
    <xf numFmtId="0" fontId="128" fillId="4" borderId="197" xfId="0" applyFont="1" applyFill="1" applyBorder="1" applyProtection="1">
      <protection locked="0"/>
    </xf>
    <xf numFmtId="0" fontId="0" fillId="0" borderId="31" xfId="0" quotePrefix="1" applyBorder="1" applyAlignment="1">
      <alignment horizontal="center"/>
    </xf>
    <xf numFmtId="0" fontId="6" fillId="0" borderId="83" xfId="0" applyFont="1" applyBorder="1"/>
    <xf numFmtId="0" fontId="6" fillId="0" borderId="25" xfId="0" applyFont="1" applyBorder="1"/>
    <xf numFmtId="0" fontId="115" fillId="0" borderId="24" xfId="476" applyFill="1" applyBorder="1" applyProtection="1"/>
    <xf numFmtId="0" fontId="123" fillId="0" borderId="55" xfId="0" applyFont="1" applyBorder="1"/>
    <xf numFmtId="0" fontId="0" fillId="0" borderId="55" xfId="0" applyBorder="1"/>
    <xf numFmtId="0" fontId="0" fillId="0" borderId="59" xfId="0" applyBorder="1"/>
    <xf numFmtId="0" fontId="0" fillId="0" borderId="150" xfId="0" applyBorder="1" applyAlignment="1">
      <alignment horizontal="left"/>
    </xf>
    <xf numFmtId="0" fontId="6" fillId="0" borderId="151" xfId="0" applyFont="1" applyBorder="1" applyAlignment="1">
      <alignment horizontal="left"/>
    </xf>
    <xf numFmtId="0" fontId="0" fillId="0" borderId="152" xfId="0" applyBorder="1" applyAlignment="1">
      <alignment horizontal="left"/>
    </xf>
    <xf numFmtId="0" fontId="6" fillId="0" borderId="153" xfId="0" applyFont="1" applyBorder="1" applyAlignment="1">
      <alignment horizontal="left"/>
    </xf>
    <xf numFmtId="0" fontId="130" fillId="0" borderId="0" xfId="485" applyFont="1"/>
    <xf numFmtId="0" fontId="129" fillId="0" borderId="0" xfId="485"/>
    <xf numFmtId="200" fontId="131" fillId="0" borderId="0" xfId="485" applyNumberFormat="1" applyFont="1" applyAlignment="1">
      <alignment horizontal="left"/>
    </xf>
    <xf numFmtId="0" fontId="132" fillId="0" borderId="0" xfId="485" applyFont="1"/>
    <xf numFmtId="0" fontId="132" fillId="0" borderId="0" xfId="485" applyFont="1" applyAlignment="1">
      <alignment horizontal="center"/>
    </xf>
    <xf numFmtId="0" fontId="131" fillId="70" borderId="9" xfId="485" applyFont="1" applyFill="1" applyBorder="1" applyAlignment="1">
      <alignment horizontal="center" vertical="center" wrapText="1"/>
    </xf>
    <xf numFmtId="0" fontId="129" fillId="0" borderId="0" xfId="485" applyAlignment="1">
      <alignment vertical="center" wrapText="1"/>
    </xf>
    <xf numFmtId="0" fontId="132" fillId="0" borderId="198" xfId="485" applyFont="1" applyBorder="1"/>
    <xf numFmtId="0" fontId="132" fillId="0" borderId="1" xfId="485" applyFont="1" applyBorder="1"/>
    <xf numFmtId="0" fontId="132" fillId="0" borderId="1" xfId="485" applyFont="1" applyBorder="1" applyAlignment="1">
      <alignment horizontal="center"/>
    </xf>
    <xf numFmtId="0" fontId="132" fillId="0" borderId="199" xfId="485" applyFont="1" applyBorder="1"/>
    <xf numFmtId="0" fontId="132" fillId="0" borderId="200" xfId="485" applyFont="1" applyBorder="1" applyAlignment="1">
      <alignment horizontal="left" vertical="center" wrapText="1"/>
    </xf>
    <xf numFmtId="0" fontId="132" fillId="0" borderId="201" xfId="485" applyFont="1" applyBorder="1" applyAlignment="1">
      <alignment horizontal="left" vertical="center" wrapText="1"/>
    </xf>
    <xf numFmtId="0" fontId="132" fillId="0" borderId="201" xfId="485" applyFont="1" applyBorder="1" applyAlignment="1">
      <alignment horizontal="center" vertical="center" wrapText="1"/>
    </xf>
    <xf numFmtId="0" fontId="132" fillId="66" borderId="199" xfId="485" applyFont="1" applyFill="1" applyBorder="1" applyAlignment="1">
      <alignment horizontal="left" vertical="center" wrapText="1"/>
    </xf>
    <xf numFmtId="0" fontId="129" fillId="0" borderId="0" xfId="485" applyAlignment="1">
      <alignment horizontal="left" vertical="center"/>
    </xf>
    <xf numFmtId="0" fontId="132" fillId="0" borderId="198" xfId="485" applyFont="1" applyBorder="1" applyAlignment="1">
      <alignment vertical="center" wrapText="1"/>
    </xf>
    <xf numFmtId="0" fontId="132" fillId="0" borderId="1" xfId="485" applyFont="1" applyBorder="1" applyAlignment="1">
      <alignment vertical="center" wrapText="1"/>
    </xf>
    <xf numFmtId="0" fontId="132" fillId="0" borderId="199" xfId="485" applyFont="1" applyBorder="1" applyAlignment="1">
      <alignment vertical="center"/>
    </xf>
    <xf numFmtId="0" fontId="132" fillId="0" borderId="1" xfId="485" applyFont="1" applyBorder="1" applyAlignment="1">
      <alignment wrapText="1"/>
    </xf>
    <xf numFmtId="0" fontId="132" fillId="0" borderId="1" xfId="485" applyFont="1" applyBorder="1" applyAlignment="1">
      <alignment horizontal="center" vertical="center" wrapText="1"/>
    </xf>
    <xf numFmtId="0" fontId="132" fillId="0" borderId="1" xfId="485" applyFont="1" applyBorder="1" applyAlignment="1">
      <alignment horizontal="center" vertical="center"/>
    </xf>
    <xf numFmtId="0" fontId="132" fillId="0" borderId="198" xfId="485" applyFont="1" applyBorder="1" applyAlignment="1">
      <alignment horizontal="left" vertical="center" wrapText="1"/>
    </xf>
    <xf numFmtId="0" fontId="132" fillId="0" borderId="1" xfId="485" applyFont="1" applyBorder="1" applyAlignment="1">
      <alignment horizontal="left" vertical="center" wrapText="1"/>
    </xf>
    <xf numFmtId="198" fontId="132" fillId="0" borderId="198" xfId="485" applyNumberFormat="1" applyFont="1" applyBorder="1" applyAlignment="1">
      <alignment horizontal="left" vertical="center" wrapText="1"/>
    </xf>
    <xf numFmtId="198" fontId="132" fillId="0" borderId="1" xfId="485" applyNumberFormat="1" applyFont="1" applyBorder="1" applyAlignment="1">
      <alignment horizontal="left" vertical="center" wrapText="1"/>
    </xf>
    <xf numFmtId="198" fontId="132" fillId="0" borderId="1" xfId="485" applyNumberFormat="1" applyFont="1" applyBorder="1" applyAlignment="1">
      <alignment horizontal="center" vertical="center" wrapText="1"/>
    </xf>
    <xf numFmtId="0" fontId="132" fillId="0" borderId="199" xfId="485" applyFont="1" applyBorder="1" applyAlignment="1">
      <alignment horizontal="left" vertical="center" wrapText="1"/>
    </xf>
    <xf numFmtId="15" fontId="132" fillId="0" borderId="1" xfId="485" applyNumberFormat="1" applyFont="1" applyBorder="1" applyAlignment="1">
      <alignment horizontal="center" vertical="center" wrapText="1"/>
    </xf>
    <xf numFmtId="0" fontId="132" fillId="0" borderId="202" xfId="485" applyFont="1" applyBorder="1"/>
    <xf numFmtId="0" fontId="132" fillId="0" borderId="203" xfId="485" applyFont="1" applyBorder="1"/>
    <xf numFmtId="0" fontId="132" fillId="0" borderId="203" xfId="485" applyFont="1" applyBorder="1" applyAlignment="1">
      <alignment horizontal="center"/>
    </xf>
    <xf numFmtId="0" fontId="132" fillId="0" borderId="204" xfId="485" applyFont="1" applyBorder="1"/>
    <xf numFmtId="0" fontId="129" fillId="0" borderId="0" xfId="485" applyAlignment="1">
      <alignment horizontal="center"/>
    </xf>
    <xf numFmtId="0" fontId="132" fillId="0" borderId="198" xfId="485" applyFont="1" applyBorder="1" applyAlignment="1">
      <alignment vertical="center"/>
    </xf>
    <xf numFmtId="0" fontId="132" fillId="0" borderId="1" xfId="485" applyFont="1" applyBorder="1" applyAlignment="1">
      <alignment vertical="center"/>
    </xf>
    <xf numFmtId="0" fontId="132" fillId="0" borderId="1" xfId="485" applyFont="1" applyBorder="1" applyAlignment="1">
      <alignment horizontal="left" vertical="center"/>
    </xf>
    <xf numFmtId="0" fontId="132" fillId="0" borderId="1" xfId="485" applyFont="1" applyBorder="1" applyAlignment="1">
      <alignment horizontal="left"/>
    </xf>
    <xf numFmtId="0" fontId="132" fillId="0" borderId="201" xfId="485" applyFont="1" applyBorder="1" applyAlignment="1">
      <alignment horizontal="center"/>
    </xf>
    <xf numFmtId="0" fontId="132" fillId="0" borderId="201" xfId="485" applyFont="1" applyBorder="1" applyAlignment="1">
      <alignment horizontal="left"/>
    </xf>
    <xf numFmtId="0" fontId="132" fillId="0" borderId="201" xfId="485" applyFont="1" applyBorder="1" applyAlignment="1">
      <alignment horizontal="center" vertical="center"/>
    </xf>
    <xf numFmtId="198" fontId="132" fillId="0" borderId="201" xfId="485" applyNumberFormat="1" applyFont="1" applyBorder="1" applyAlignment="1">
      <alignment horizontal="center" vertical="center" wrapText="1"/>
    </xf>
    <xf numFmtId="15" fontId="132" fillId="0" borderId="201" xfId="485" applyNumberFormat="1" applyFont="1" applyBorder="1" applyAlignment="1">
      <alignment horizontal="center" vertical="center" wrapText="1"/>
    </xf>
    <xf numFmtId="0" fontId="132" fillId="0" borderId="205" xfId="485" applyFont="1" applyBorder="1" applyAlignment="1">
      <alignment horizontal="center"/>
    </xf>
    <xf numFmtId="0" fontId="132" fillId="0" borderId="206" xfId="485" applyFont="1" applyBorder="1" applyAlignment="1">
      <alignment vertical="center" wrapText="1"/>
    </xf>
    <xf numFmtId="0" fontId="133" fillId="0" borderId="206" xfId="485" applyFont="1" applyBorder="1" applyAlignment="1">
      <alignment wrapText="1"/>
    </xf>
    <xf numFmtId="0" fontId="133" fillId="0" borderId="1" xfId="485" applyFont="1" applyBorder="1" applyAlignment="1">
      <alignment wrapText="1"/>
    </xf>
    <xf numFmtId="0" fontId="132" fillId="0" borderId="199" xfId="485" applyFont="1" applyBorder="1" applyAlignment="1">
      <alignment horizontal="center" wrapText="1"/>
    </xf>
    <xf numFmtId="201" fontId="132" fillId="0" borderId="0" xfId="485" applyNumberFormat="1" applyFont="1" applyAlignment="1">
      <alignment horizontal="center"/>
    </xf>
    <xf numFmtId="201" fontId="131" fillId="70" borderId="9" xfId="485" applyNumberFormat="1" applyFont="1" applyFill="1" applyBorder="1" applyAlignment="1">
      <alignment horizontal="center" vertical="center" wrapText="1"/>
    </xf>
    <xf numFmtId="201" fontId="132" fillId="0" borderId="201" xfId="485" applyNumberFormat="1" applyFont="1" applyBorder="1" applyAlignment="1">
      <alignment horizontal="center"/>
    </xf>
    <xf numFmtId="201" fontId="132" fillId="71" borderId="1" xfId="485" applyNumberFormat="1" applyFont="1" applyFill="1" applyBorder="1" applyAlignment="1">
      <alignment horizontal="left" vertical="center"/>
    </xf>
    <xf numFmtId="201" fontId="132" fillId="0" borderId="201" xfId="485" applyNumberFormat="1" applyFont="1" applyBorder="1" applyAlignment="1">
      <alignment horizontal="center" vertical="center" wrapText="1"/>
    </xf>
    <xf numFmtId="201" fontId="132" fillId="0" borderId="201" xfId="485" applyNumberFormat="1" applyFont="1" applyBorder="1" applyAlignment="1">
      <alignment horizontal="center" vertical="center"/>
    </xf>
    <xf numFmtId="201" fontId="132" fillId="0" borderId="205" xfId="485" applyNumberFormat="1" applyFont="1" applyBorder="1" applyAlignment="1">
      <alignment horizontal="center"/>
    </xf>
    <xf numFmtId="201" fontId="129" fillId="0" borderId="0" xfId="485" applyNumberFormat="1" applyAlignment="1">
      <alignment horizontal="center"/>
    </xf>
    <xf numFmtId="0" fontId="132" fillId="0" borderId="201" xfId="485" applyFont="1" applyBorder="1" applyAlignment="1">
      <alignment horizontal="left" wrapText="1"/>
    </xf>
    <xf numFmtId="0" fontId="132" fillId="0" borderId="199" xfId="485" applyFont="1" applyBorder="1" applyAlignment="1">
      <alignment horizontal="center" vertical="center"/>
    </xf>
    <xf numFmtId="0" fontId="129" fillId="0" borderId="0" xfId="485" applyAlignment="1">
      <alignment vertical="center"/>
    </xf>
    <xf numFmtId="0" fontId="11" fillId="14" borderId="25" xfId="0" applyFont="1" applyFill="1" applyBorder="1" applyAlignment="1">
      <alignment horizontal="left"/>
    </xf>
    <xf numFmtId="0" fontId="11" fillId="14" borderId="59" xfId="0" applyFont="1" applyFill="1" applyBorder="1" applyAlignment="1">
      <alignment horizontal="left"/>
    </xf>
    <xf numFmtId="197" fontId="11" fillId="14" borderId="25" xfId="0" applyNumberFormat="1" applyFont="1" applyFill="1" applyBorder="1" applyAlignment="1">
      <alignment horizontal="left"/>
    </xf>
    <xf numFmtId="197" fontId="11" fillId="14" borderId="59" xfId="0" applyNumberFormat="1" applyFont="1" applyFill="1" applyBorder="1" applyAlignment="1">
      <alignment horizontal="left"/>
    </xf>
    <xf numFmtId="0" fontId="131" fillId="0" borderId="0" xfId="485" applyFont="1"/>
    <xf numFmtId="201" fontId="131" fillId="0" borderId="0" xfId="485" applyNumberFormat="1" applyFont="1" applyAlignment="1">
      <alignment horizontal="left"/>
    </xf>
    <xf numFmtId="0" fontId="6" fillId="0" borderId="0" xfId="0" applyFont="1" applyAlignment="1">
      <alignment horizontal="center" wrapText="1"/>
    </xf>
    <xf numFmtId="0" fontId="6" fillId="5" borderId="15" xfId="0" applyFont="1" applyFill="1" applyBorder="1" applyAlignment="1">
      <alignment horizontal="center" wrapText="1"/>
    </xf>
    <xf numFmtId="0" fontId="6" fillId="5" borderId="16" xfId="0" applyFont="1" applyFill="1" applyBorder="1" applyAlignment="1">
      <alignment horizontal="center" wrapText="1"/>
    </xf>
    <xf numFmtId="0" fontId="6" fillId="5" borderId="33" xfId="0" applyFont="1" applyFill="1" applyBorder="1" applyAlignment="1">
      <alignment horizontal="center" wrapText="1"/>
    </xf>
    <xf numFmtId="0" fontId="6" fillId="5" borderId="35" xfId="0" applyFont="1" applyFill="1" applyBorder="1" applyAlignment="1">
      <alignment horizontal="center" wrapText="1"/>
    </xf>
    <xf numFmtId="167" fontId="6" fillId="3" borderId="134" xfId="2" applyFont="1" applyFill="1" applyBorder="1" applyAlignment="1" applyProtection="1">
      <alignment horizontal="center"/>
    </xf>
    <xf numFmtId="167" fontId="6" fillId="3" borderId="135" xfId="2" applyFont="1" applyFill="1" applyBorder="1" applyAlignment="1" applyProtection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14" fontId="6" fillId="3" borderId="24" xfId="0" applyNumberFormat="1" applyFont="1" applyFill="1" applyBorder="1" applyAlignment="1">
      <alignment horizontal="center" wrapText="1"/>
    </xf>
    <xf numFmtId="0" fontId="9" fillId="3" borderId="24" xfId="0" applyFont="1" applyFill="1" applyBorder="1" applyAlignment="1">
      <alignment horizontal="center" wrapText="1"/>
    </xf>
    <xf numFmtId="14" fontId="6" fillId="3" borderId="24" xfId="0" applyNumberFormat="1" applyFont="1" applyFill="1" applyBorder="1" applyAlignment="1">
      <alignment horizontal="center" vertical="top" wrapText="1"/>
    </xf>
    <xf numFmtId="14" fontId="6" fillId="3" borderId="25" xfId="0" applyNumberFormat="1" applyFont="1" applyFill="1" applyBorder="1" applyAlignment="1">
      <alignment horizontal="center" wrapText="1"/>
    </xf>
    <xf numFmtId="14" fontId="6" fillId="3" borderId="59" xfId="0" applyNumberFormat="1" applyFont="1" applyFill="1" applyBorder="1" applyAlignment="1">
      <alignment horizontal="center" wrapText="1"/>
    </xf>
    <xf numFmtId="14" fontId="6" fillId="3" borderId="25" xfId="0" applyNumberFormat="1" applyFont="1" applyFill="1" applyBorder="1" applyAlignment="1">
      <alignment horizontal="center" vertical="top" wrapText="1"/>
    </xf>
    <xf numFmtId="14" fontId="6" fillId="3" borderId="59" xfId="0" applyNumberFormat="1" applyFont="1" applyFill="1" applyBorder="1" applyAlignment="1">
      <alignment horizontal="center" vertical="top" wrapText="1"/>
    </xf>
    <xf numFmtId="0" fontId="9" fillId="3" borderId="83" xfId="0" applyFont="1" applyFill="1" applyBorder="1" applyAlignment="1">
      <alignment horizontal="center" vertical="center" wrapText="1"/>
    </xf>
    <xf numFmtId="0" fontId="9" fillId="3" borderId="84" xfId="0" applyFont="1" applyFill="1" applyBorder="1" applyAlignment="1">
      <alignment horizontal="center" vertical="center" wrapText="1"/>
    </xf>
    <xf numFmtId="0" fontId="9" fillId="3" borderId="85" xfId="0" applyFont="1" applyFill="1" applyBorder="1" applyAlignment="1">
      <alignment horizontal="center" vertical="center" wrapText="1"/>
    </xf>
    <xf numFmtId="0" fontId="11" fillId="14" borderId="13" xfId="0" applyFont="1" applyFill="1" applyBorder="1" applyAlignment="1">
      <alignment horizontal="left"/>
    </xf>
    <xf numFmtId="0" fontId="11" fillId="14" borderId="17" xfId="0" applyFont="1" applyFill="1" applyBorder="1" applyAlignment="1">
      <alignment horizontal="left"/>
    </xf>
    <xf numFmtId="0" fontId="11" fillId="14" borderId="14" xfId="0" applyFont="1" applyFill="1" applyBorder="1" applyAlignment="1">
      <alignment horizontal="left"/>
    </xf>
    <xf numFmtId="197" fontId="11" fillId="14" borderId="13" xfId="0" applyNumberFormat="1" applyFont="1" applyFill="1" applyBorder="1" applyAlignment="1">
      <alignment horizontal="left"/>
    </xf>
    <xf numFmtId="197" fontId="11" fillId="14" borderId="17" xfId="0" applyNumberFormat="1" applyFont="1" applyFill="1" applyBorder="1" applyAlignment="1">
      <alignment horizontal="left"/>
    </xf>
    <xf numFmtId="197" fontId="11" fillId="14" borderId="14" xfId="0" applyNumberFormat="1" applyFont="1" applyFill="1" applyBorder="1" applyAlignment="1">
      <alignment horizontal="left"/>
    </xf>
    <xf numFmtId="167" fontId="6" fillId="3" borderId="13" xfId="2" applyFont="1" applyFill="1" applyBorder="1" applyAlignment="1" applyProtection="1">
      <alignment horizontal="center"/>
    </xf>
    <xf numFmtId="167" fontId="6" fillId="3" borderId="17" xfId="2" applyFont="1" applyFill="1" applyBorder="1" applyAlignment="1" applyProtection="1">
      <alignment horizontal="center"/>
    </xf>
    <xf numFmtId="167" fontId="6" fillId="3" borderId="14" xfId="2" applyFont="1" applyFill="1" applyBorder="1" applyAlignment="1" applyProtection="1">
      <alignment horizontal="center"/>
    </xf>
  </cellXfs>
  <cellStyles count="486">
    <cellStyle name="******************************************" xfId="1" xr:uid="{00000000-0005-0000-0000-000000000000}"/>
    <cellStyle name="?" xfId="25" xr:uid="{00000000-0005-0000-0000-000001000000}"/>
    <cellStyle name="_x001f_?--_x0004_ _x000c__x0009__x0003__x000b__x0001__x000a__x000b__x0002_--_x0008__x0004__x0002__x0002__x0007__x0007__x0007__x0007__x0007__x0007__x0007__x0007__x0007__x0007__x0007__x0007__x0007__x0007__x0002_-_x0004_ _x000c__x0009__x0003__x000b__x0001__x000a__x000b__x0002_--_x0008__x0002_" xfId="26" xr:uid="{00000000-0005-0000-0000-000002000000}"/>
    <cellStyle name="?? [0.00]_Sheet1" xfId="27" xr:uid="{00000000-0005-0000-0000-000003000000}"/>
    <cellStyle name="???" xfId="28" xr:uid="{00000000-0005-0000-0000-000004000000}"/>
    <cellStyle name="???? [0.00]_Sheet1" xfId="29" xr:uid="{00000000-0005-0000-0000-000005000000}"/>
    <cellStyle name="??????" xfId="30" xr:uid="{00000000-0005-0000-0000-000006000000}"/>
    <cellStyle name="????_EXHA-1" xfId="31" xr:uid="{00000000-0005-0000-0000-000007000000}"/>
    <cellStyle name="????À_x000a_" xfId="32" xr:uid="{00000000-0005-0000-0000-000008000000}"/>
    <cellStyle name="??_(Edison) SI Package" xfId="33" xr:uid="{00000000-0005-0000-0000-000009000000}"/>
    <cellStyle name="??2" xfId="34" xr:uid="{00000000-0005-0000-0000-00000A000000}"/>
    <cellStyle name="]_^[꺞_x0008_?" xfId="35" xr:uid="{00000000-0005-0000-0000-00000B000000}"/>
    <cellStyle name="_1_3710" xfId="36" xr:uid="{00000000-0005-0000-0000-00000C000000}"/>
    <cellStyle name="_A_SI Workbook 1207_SP" xfId="37" xr:uid="{00000000-0005-0000-0000-00000D000000}"/>
    <cellStyle name="_A_SI Workbook PPYY_TT" xfId="38" xr:uid="{00000000-0005-0000-0000-00000E000000}"/>
    <cellStyle name="_Additions - Apr-Sept`07" xfId="39" xr:uid="{00000000-0005-0000-0000-00000F000000}"/>
    <cellStyle name="_ALAN" xfId="40" xr:uid="{00000000-0005-0000-0000-000010000000}"/>
    <cellStyle name="_ALAN_DATA" xfId="41" xr:uid="{00000000-0005-0000-0000-000011000000}"/>
    <cellStyle name="_ALAN_ECO Part2" xfId="42" xr:uid="{00000000-0005-0000-0000-000012000000}"/>
    <cellStyle name="_ALAN_Sch 50.1" xfId="43" xr:uid="{00000000-0005-0000-0000-000013000000}"/>
    <cellStyle name="_BI-FEB" xfId="44" xr:uid="{00000000-0005-0000-0000-000014000000}"/>
    <cellStyle name="_Byline Review - Monthly1 LC CY1210 Final Dec20" xfId="45" xr:uid="{00000000-0005-0000-0000-000015000000}"/>
    <cellStyle name="_CN_YRT-EB_NB_(Local&amp;HK_manually_adj)_30112009" xfId="46" xr:uid="{00000000-0005-0000-0000-000016000000}"/>
    <cellStyle name="_Copy of Value of Inforce &amp; NB YRT v1.5 (29122009)_Checking_TEMP_DELETE_AFTER_USE" xfId="47" xr:uid="{00000000-0005-0000-0000-000017000000}"/>
    <cellStyle name="_DATA" xfId="48" xr:uid="{00000000-0005-0000-0000-000018000000}"/>
    <cellStyle name="_ECO Part2 0906 - AIA &amp; SUBSIDIARIES - LIFE DIVISION" xfId="49" xr:uid="{00000000-0005-0000-0000-000019000000}"/>
    <cellStyle name="_ECO Part2 0906 - AIA &amp; SUBSIDIARIES - LIFE DIVISION_ECO Part2" xfId="50" xr:uid="{00000000-0005-0000-0000-00001A000000}"/>
    <cellStyle name="_GL031-Final" xfId="51" xr:uid="{00000000-0005-0000-0000-00001B000000}"/>
    <cellStyle name="_Inforce and NB ANP (revised Actuarial workg)" xfId="52" xr:uid="{00000000-0005-0000-0000-00001C000000}"/>
    <cellStyle name="_Inforce and NB ANP (revised Actuarial workg)_CN_YRT-EB_NB_(Local&amp;HK_manually_adj)_30112009" xfId="53" xr:uid="{00000000-0005-0000-0000-00001D000000}"/>
    <cellStyle name="_Inforce and NB ANP (revised Actuarial workg)_Copy of Value of Inforce &amp; NB YRT v1.5 (29122009)_Checking_TEMP_DELETE_AFTER_USE" xfId="54" xr:uid="{00000000-0005-0000-0000-00001E000000}"/>
    <cellStyle name="_Inforce and NB ANP (revised Actuarial workg)_TH SPE IF Total_Scenario 1(Base)" xfId="55" xr:uid="{00000000-0005-0000-0000-00001F000000}"/>
    <cellStyle name="_Inforce and NB ANP (revised Actuarial workg)_TH SPE IF Total_Scenario 2" xfId="56" xr:uid="{00000000-0005-0000-0000-000020000000}"/>
    <cellStyle name="_Inforce and NB ANP (revised Actuarial workg)_TH SPE IF Total_Scenario 3" xfId="57" xr:uid="{00000000-0005-0000-0000-000021000000}"/>
    <cellStyle name="_Inforce and NB ANP (revised Actuarial workg)_TH SPE Total 2010.12 IF CF Working (Scenario 1) v1 (20110411)" xfId="58" xr:uid="{00000000-0005-0000-0000-000022000000}"/>
    <cellStyle name="_Inforce and NB ANP (revised Actuarial workg)_TH SPE Total 2010.12 IF CF Working (Scenario 2) v1 (20110411)" xfId="59" xr:uid="{00000000-0005-0000-0000-000023000000}"/>
    <cellStyle name="_Inforce and NB ANP (revised Actuarial workg)_TH SPE Total 2010.12 IF CF Working (Scenario 3) v1 (20110411)" xfId="60" xr:uid="{00000000-0005-0000-0000-000024000000}"/>
    <cellStyle name="_Inforce and NB ANP (revised Actuarial workg)_Value of Inforce &amp; NB YRT v1.5 (29122009)" xfId="61" xr:uid="{00000000-0005-0000-0000-000025000000}"/>
    <cellStyle name="_Issue" xfId="62" xr:uid="{00000000-0005-0000-0000-000026000000}"/>
    <cellStyle name="_Life Units recon 280207" xfId="63" xr:uid="{00000000-0005-0000-0000-000027000000}"/>
    <cellStyle name="_Life Units recon 280207_CN_YRT-EB_NB_(Local&amp;HK_manually_adj)_30112009" xfId="64" xr:uid="{00000000-0005-0000-0000-000028000000}"/>
    <cellStyle name="_Life Units recon 280207_Copy of Value of Inforce &amp; NB YRT v1.5 (29122009)_Checking_TEMP_DELETE_AFTER_USE" xfId="65" xr:uid="{00000000-0005-0000-0000-000029000000}"/>
    <cellStyle name="_Life Units recon 280207_TH SPE IF Total_Scenario 1(Base)" xfId="66" xr:uid="{00000000-0005-0000-0000-00002A000000}"/>
    <cellStyle name="_Life Units recon 280207_TH SPE IF Total_Scenario 2" xfId="67" xr:uid="{00000000-0005-0000-0000-00002B000000}"/>
    <cellStyle name="_Life Units recon 280207_TH SPE IF Total_Scenario 3" xfId="68" xr:uid="{00000000-0005-0000-0000-00002C000000}"/>
    <cellStyle name="_Life Units recon 280207_TH SPE Total 2010.12 IF CF Working (Scenario 1) v1 (20110411)" xfId="69" xr:uid="{00000000-0005-0000-0000-00002D000000}"/>
    <cellStyle name="_Life Units recon 280207_TH SPE Total 2010.12 IF CF Working (Scenario 2) v1 (20110411)" xfId="70" xr:uid="{00000000-0005-0000-0000-00002E000000}"/>
    <cellStyle name="_Life Units recon 280207_TH SPE Total 2010.12 IF CF Working (Scenario 3) v1 (20110411)" xfId="71" xr:uid="{00000000-0005-0000-0000-00002F000000}"/>
    <cellStyle name="_Life Units recon 280207_Value of Inforce &amp; NB YRT v1.5 (29122009)" xfId="72" xr:uid="{00000000-0005-0000-0000-000030000000}"/>
    <cellStyle name="_Life Units recon 310107" xfId="73" xr:uid="{00000000-0005-0000-0000-000031000000}"/>
    <cellStyle name="_Life Units recon 310107_CN_YRT-EB_NB_(Local&amp;HK_manually_adj)_30112009" xfId="74" xr:uid="{00000000-0005-0000-0000-000032000000}"/>
    <cellStyle name="_Life Units recon 310107_Copy of Value of Inforce &amp; NB YRT v1.5 (29122009)_Checking_TEMP_DELETE_AFTER_USE" xfId="75" xr:uid="{00000000-0005-0000-0000-000033000000}"/>
    <cellStyle name="_Life Units recon 310107_TH SPE IF Total_Scenario 1(Base)" xfId="76" xr:uid="{00000000-0005-0000-0000-000034000000}"/>
    <cellStyle name="_Life Units recon 310107_TH SPE IF Total_Scenario 2" xfId="77" xr:uid="{00000000-0005-0000-0000-000035000000}"/>
    <cellStyle name="_Life Units recon 310107_TH SPE IF Total_Scenario 3" xfId="78" xr:uid="{00000000-0005-0000-0000-000036000000}"/>
    <cellStyle name="_Life Units recon 310107_TH SPE Total 2010.12 IF CF Working (Scenario 1) v1 (20110411)" xfId="79" xr:uid="{00000000-0005-0000-0000-000037000000}"/>
    <cellStyle name="_Life Units recon 310107_TH SPE Total 2010.12 IF CF Working (Scenario 2) v1 (20110411)" xfId="80" xr:uid="{00000000-0005-0000-0000-000038000000}"/>
    <cellStyle name="_Life Units recon 310107_TH SPE Total 2010.12 IF CF Working (Scenario 3) v1 (20110411)" xfId="81" xr:uid="{00000000-0005-0000-0000-000039000000}"/>
    <cellStyle name="_Life Units recon 310107_Value of Inforce &amp; NB YRT v1.5 (29122009)" xfId="82" xr:uid="{00000000-0005-0000-0000-00003A000000}"/>
    <cellStyle name="_Life Units recon 310307" xfId="83" xr:uid="{00000000-0005-0000-0000-00003B000000}"/>
    <cellStyle name="_Life Units recon 310307_CN_YRT-EB_NB_(Local&amp;HK_manually_adj)_30112009" xfId="84" xr:uid="{00000000-0005-0000-0000-00003C000000}"/>
    <cellStyle name="_Life Units recon 310307_Copy of Value of Inforce &amp; NB YRT v1.5 (29122009)_Checking_TEMP_DELETE_AFTER_USE" xfId="85" xr:uid="{00000000-0005-0000-0000-00003D000000}"/>
    <cellStyle name="_Life Units recon 310307_TH SPE IF Total_Scenario 1(Base)" xfId="86" xr:uid="{00000000-0005-0000-0000-00003E000000}"/>
    <cellStyle name="_Life Units recon 310307_TH SPE IF Total_Scenario 2" xfId="87" xr:uid="{00000000-0005-0000-0000-00003F000000}"/>
    <cellStyle name="_Life Units recon 310307_TH SPE IF Total_Scenario 3" xfId="88" xr:uid="{00000000-0005-0000-0000-000040000000}"/>
    <cellStyle name="_Life Units recon 310307_TH SPE Total 2010.12 IF CF Working (Scenario 1) v1 (20110411)" xfId="89" xr:uid="{00000000-0005-0000-0000-000041000000}"/>
    <cellStyle name="_Life Units recon 310307_TH SPE Total 2010.12 IF CF Working (Scenario 2) v1 (20110411)" xfId="90" xr:uid="{00000000-0005-0000-0000-000042000000}"/>
    <cellStyle name="_Life Units recon 310307_TH SPE Total 2010.12 IF CF Working (Scenario 3) v1 (20110411)" xfId="91" xr:uid="{00000000-0005-0000-0000-000043000000}"/>
    <cellStyle name="_Life Units recon 310307_Value of Inforce &amp; NB YRT v1.5 (29122009)" xfId="92" xr:uid="{00000000-0005-0000-0000-000044000000}"/>
    <cellStyle name="_Life Valn 31st Mar 2007 Rev" xfId="93" xr:uid="{00000000-0005-0000-0000-000045000000}"/>
    <cellStyle name="_Life Valn 31st Mar 2007 Rev_CN_YRT-EB_NB_(Local&amp;HK_manually_adj)_30112009" xfId="94" xr:uid="{00000000-0005-0000-0000-000046000000}"/>
    <cellStyle name="_Life Valn 31st Mar 2007 Rev_Copy of Value of Inforce &amp; NB YRT v1.5 (29122009)_Checking_TEMP_DELETE_AFTER_USE" xfId="95" xr:uid="{00000000-0005-0000-0000-000047000000}"/>
    <cellStyle name="_Life Valn 31st Mar 2007 Rev_TH SPE IF Total_Scenario 1(Base)" xfId="96" xr:uid="{00000000-0005-0000-0000-000048000000}"/>
    <cellStyle name="_Life Valn 31st Mar 2007 Rev_TH SPE IF Total_Scenario 2" xfId="97" xr:uid="{00000000-0005-0000-0000-000049000000}"/>
    <cellStyle name="_Life Valn 31st Mar 2007 Rev_TH SPE IF Total_Scenario 3" xfId="98" xr:uid="{00000000-0005-0000-0000-00004A000000}"/>
    <cellStyle name="_Life Valn 31st Mar 2007 Rev_TH SPE Total 2010.12 IF CF Working (Scenario 1) v1 (20110411)" xfId="99" xr:uid="{00000000-0005-0000-0000-00004B000000}"/>
    <cellStyle name="_Life Valn 31st Mar 2007 Rev_TH SPE Total 2010.12 IF CF Working (Scenario 2) v1 (20110411)" xfId="100" xr:uid="{00000000-0005-0000-0000-00004C000000}"/>
    <cellStyle name="_Life Valn 31st Mar 2007 Rev_TH SPE Total 2010.12 IF CF Working (Scenario 3) v1 (20110411)" xfId="101" xr:uid="{00000000-0005-0000-0000-00004D000000}"/>
    <cellStyle name="_Life Valn 31st Mar 2007 Rev_Value of Inforce &amp; NB YRT v1.5 (29122009)" xfId="102" xr:uid="{00000000-0005-0000-0000-00004E000000}"/>
    <cellStyle name="_Map30&amp;6&amp;10" xfId="103" xr:uid="{00000000-0005-0000-0000-00004F000000}"/>
    <cellStyle name="_Month Master" xfId="104" xr:uid="{00000000-0005-0000-0000-000050000000}"/>
    <cellStyle name="_Month Master_CN_YRT-EB_NB_(Local&amp;HK_manually_adj)_30112009" xfId="105" xr:uid="{00000000-0005-0000-0000-000051000000}"/>
    <cellStyle name="_Month Master_Copy of Value of Inforce &amp; NB YRT v1.5 (29122009)_Checking_TEMP_DELETE_AFTER_USE" xfId="106" xr:uid="{00000000-0005-0000-0000-000052000000}"/>
    <cellStyle name="_Month Master_TH SPE IF Total_Scenario 1(Base)" xfId="107" xr:uid="{00000000-0005-0000-0000-000053000000}"/>
    <cellStyle name="_Month Master_TH SPE IF Total_Scenario 2" xfId="108" xr:uid="{00000000-0005-0000-0000-000054000000}"/>
    <cellStyle name="_Month Master_TH SPE IF Total_Scenario 3" xfId="109" xr:uid="{00000000-0005-0000-0000-000055000000}"/>
    <cellStyle name="_Month Master_TH SPE Total 2010.12 IF CF Working (Scenario 1) v1 (20110411)" xfId="110" xr:uid="{00000000-0005-0000-0000-000056000000}"/>
    <cellStyle name="_Month Master_TH SPE Total 2010.12 IF CF Working (Scenario 2) v1 (20110411)" xfId="111" xr:uid="{00000000-0005-0000-0000-000057000000}"/>
    <cellStyle name="_Month Master_TH SPE Total 2010.12 IF CF Working (Scenario 3) v1 (20110411)" xfId="112" xr:uid="{00000000-0005-0000-0000-000058000000}"/>
    <cellStyle name="_Month Master_Value of Inforce &amp; NB YRT v1.5 (29122009)" xfId="113" xr:uid="{00000000-0005-0000-0000-000059000000}"/>
    <cellStyle name="_OIC_Annual_Report_2010" xfId="114" xr:uid="{00000000-0005-0000-0000-00005A000000}"/>
    <cellStyle name="_OIC_Monthly_Report_December2010" xfId="115" xr:uid="{00000000-0005-0000-0000-00005B000000}"/>
    <cellStyle name="_Q_SI Workbook 0508_KO" xfId="116" xr:uid="{00000000-0005-0000-0000-00005C000000}"/>
    <cellStyle name="_Q_SI Workbook 0608_SE" xfId="117" xr:uid="{00000000-0005-0000-0000-00005D000000}"/>
    <cellStyle name="_Q_SI Workbook 0608_TT_1" xfId="118" xr:uid="{00000000-0005-0000-0000-00005E000000}"/>
    <cellStyle name="_Q_SI Workbook 1208_TT-a" xfId="119" xr:uid="{00000000-0005-0000-0000-00005F000000}"/>
    <cellStyle name="_Q_SI Workbook PPYY_TT" xfId="120" xr:uid="{00000000-0005-0000-0000-000060000000}"/>
    <cellStyle name="_Q_SI Workbook PPYY_TT (2ND BATCH)" xfId="121" xr:uid="{00000000-0005-0000-0000-000061000000}"/>
    <cellStyle name="_Q_SI Workbook PPYY_TT (2ND BATCH)-2" xfId="122" xr:uid="{00000000-0005-0000-0000-000062000000}"/>
    <cellStyle name="_Q_SI Workbook PPYY_TT(New Schedule)" xfId="123" xr:uid="{00000000-0005-0000-0000-000063000000}"/>
    <cellStyle name="_Q_SI Workbook PPYY_TT_20080529" xfId="124" xr:uid="{00000000-0005-0000-0000-000064000000}"/>
    <cellStyle name="_Q_SI Workbook PPYY_TT-1" xfId="125" xr:uid="{00000000-0005-0000-0000-000065000000}"/>
    <cellStyle name="_Q_SI Workbook PPYY_TT-3" xfId="126" xr:uid="{00000000-0005-0000-0000-000066000000}"/>
    <cellStyle name="_Q_SI Workbook PPYY_TT-4" xfId="127" xr:uid="{00000000-0005-0000-0000-000067000000}"/>
    <cellStyle name="_Q_SI Workbook_GT_0909_TT" xfId="128" xr:uid="{00000000-0005-0000-0000-000068000000}"/>
    <cellStyle name="_SCH 43 3Q06" xfId="129" xr:uid="{00000000-0005-0000-0000-000069000000}"/>
    <cellStyle name="_SCH 43 3Q06_ECO Part2 0906 - AIA &amp; SUBSIDIARIES - LIFE DIVISION" xfId="130" xr:uid="{00000000-0005-0000-0000-00006A000000}"/>
    <cellStyle name="_SCH 43 3Q06_ECO Part2 0906 - AIA &amp; SUBSIDIARIES - LIFE DIVISION_ECO Part2" xfId="131" xr:uid="{00000000-0005-0000-0000-00006B000000}"/>
    <cellStyle name="_Shortage_78 Branches - Upload Facility" xfId="132" xr:uid="{00000000-0005-0000-0000-00006C000000}"/>
    <cellStyle name="_Shortage_78 Branches - Upload Facility_CN_YRT-EB_NB_(Local&amp;HK_manually_adj)_30112009" xfId="133" xr:uid="{00000000-0005-0000-0000-00006D000000}"/>
    <cellStyle name="_Shortage_78 Branches - Upload Facility_Copy of Value of Inforce &amp; NB YRT v1.5 (29122009)_Checking_TEMP_DELETE_AFTER_USE" xfId="134" xr:uid="{00000000-0005-0000-0000-00006E000000}"/>
    <cellStyle name="_Shortage_78 Branches - Upload Facility_TH SPE IF Total_Scenario 1(Base)" xfId="135" xr:uid="{00000000-0005-0000-0000-00006F000000}"/>
    <cellStyle name="_Shortage_78 Branches - Upload Facility_TH SPE IF Total_Scenario 2" xfId="136" xr:uid="{00000000-0005-0000-0000-000070000000}"/>
    <cellStyle name="_Shortage_78 Branches - Upload Facility_TH SPE IF Total_Scenario 3" xfId="137" xr:uid="{00000000-0005-0000-0000-000071000000}"/>
    <cellStyle name="_Shortage_78 Branches - Upload Facility_TH SPE Total 2010.12 IF CF Working (Scenario 1) v1 (20110411)" xfId="138" xr:uid="{00000000-0005-0000-0000-000072000000}"/>
    <cellStyle name="_Shortage_78 Branches - Upload Facility_TH SPE Total 2010.12 IF CF Working (Scenario 2) v1 (20110411)" xfId="139" xr:uid="{00000000-0005-0000-0000-000073000000}"/>
    <cellStyle name="_Shortage_78 Branches - Upload Facility_TH SPE Total 2010.12 IF CF Working (Scenario 3) v1 (20110411)" xfId="140" xr:uid="{00000000-0005-0000-0000-000074000000}"/>
    <cellStyle name="_Shortage_78 Branches - Upload Facility_Value of Inforce &amp; NB YRT v1.5 (29122009)" xfId="141" xr:uid="{00000000-0005-0000-0000-000075000000}"/>
    <cellStyle name="_Shortage_78 Branches - Upload IT" xfId="142" xr:uid="{00000000-0005-0000-0000-000076000000}"/>
    <cellStyle name="_Shortage_78 Branches - Upload IT_CN_YRT-EB_NB_(Local&amp;HK_manually_adj)_30112009" xfId="143" xr:uid="{00000000-0005-0000-0000-000077000000}"/>
    <cellStyle name="_Shortage_78 Branches - Upload IT_Copy of Value of Inforce &amp; NB YRT v1.5 (29122009)_Checking_TEMP_DELETE_AFTER_USE" xfId="144" xr:uid="{00000000-0005-0000-0000-000078000000}"/>
    <cellStyle name="_Shortage_78 Branches - Upload IT_TH SPE IF Total_Scenario 1(Base)" xfId="145" xr:uid="{00000000-0005-0000-0000-000079000000}"/>
    <cellStyle name="_Shortage_78 Branches - Upload IT_TH SPE IF Total_Scenario 2" xfId="146" xr:uid="{00000000-0005-0000-0000-00007A000000}"/>
    <cellStyle name="_Shortage_78 Branches - Upload IT_TH SPE IF Total_Scenario 3" xfId="147" xr:uid="{00000000-0005-0000-0000-00007B000000}"/>
    <cellStyle name="_Shortage_78 Branches - Upload IT_TH SPE Total 2010.12 IF CF Working (Scenario 1) v1 (20110411)" xfId="148" xr:uid="{00000000-0005-0000-0000-00007C000000}"/>
    <cellStyle name="_Shortage_78 Branches - Upload IT_TH SPE Total 2010.12 IF CF Working (Scenario 2) v1 (20110411)" xfId="149" xr:uid="{00000000-0005-0000-0000-00007D000000}"/>
    <cellStyle name="_Shortage_78 Branches - Upload IT_TH SPE Total 2010.12 IF CF Working (Scenario 3) v1 (20110411)" xfId="150" xr:uid="{00000000-0005-0000-0000-00007E000000}"/>
    <cellStyle name="_Shortage_78 Branches - Upload IT_Value of Inforce &amp; NB YRT v1.5 (29122009)" xfId="151" xr:uid="{00000000-0005-0000-0000-00007F000000}"/>
    <cellStyle name="_SI Workbook (Annual Schedules)" xfId="152" xr:uid="{00000000-0005-0000-0000-000080000000}"/>
    <cellStyle name="_SI Workbook (Quarterly Schedules)-1" xfId="153" xr:uid="{00000000-0005-0000-0000-000081000000}"/>
    <cellStyle name="_Surplus_Dec10" xfId="154" xr:uid="{00000000-0005-0000-0000-000082000000}"/>
    <cellStyle name="_TB 300607" xfId="155" xr:uid="{00000000-0005-0000-0000-000083000000}"/>
    <cellStyle name="_TB 300607_CN_YRT-EB_NB_(Local&amp;HK_manually_adj)_30112009" xfId="156" xr:uid="{00000000-0005-0000-0000-000084000000}"/>
    <cellStyle name="_TB 300607_Copy of Value of Inforce &amp; NB YRT v1.5 (29122009)_Checking_TEMP_DELETE_AFTER_USE" xfId="157" xr:uid="{00000000-0005-0000-0000-000085000000}"/>
    <cellStyle name="_TB 300607_TH SPE IF Total_Scenario 1(Base)" xfId="158" xr:uid="{00000000-0005-0000-0000-000086000000}"/>
    <cellStyle name="_TB 300607_TH SPE IF Total_Scenario 2" xfId="159" xr:uid="{00000000-0005-0000-0000-000087000000}"/>
    <cellStyle name="_TB 300607_TH SPE IF Total_Scenario 3" xfId="160" xr:uid="{00000000-0005-0000-0000-000088000000}"/>
    <cellStyle name="_TB 300607_TH SPE Total 2010.12 IF CF Working (Scenario 1) v1 (20110411)" xfId="161" xr:uid="{00000000-0005-0000-0000-000089000000}"/>
    <cellStyle name="_TB 300607_TH SPE Total 2010.12 IF CF Working (Scenario 2) v1 (20110411)" xfId="162" xr:uid="{00000000-0005-0000-0000-00008A000000}"/>
    <cellStyle name="_TB 300607_TH SPE Total 2010.12 IF CF Working (Scenario 3) v1 (20110411)" xfId="163" xr:uid="{00000000-0005-0000-0000-00008B000000}"/>
    <cellStyle name="_TB 300607_Value of Inforce &amp; NB YRT v1.5 (29122009)" xfId="164" xr:uid="{00000000-0005-0000-0000-00008C000000}"/>
    <cellStyle name="_TH SPE IF Total_Scenario 1(Base)" xfId="165" xr:uid="{00000000-0005-0000-0000-00008D000000}"/>
    <cellStyle name="_TH SPE IF Total_Scenario 2" xfId="166" xr:uid="{00000000-0005-0000-0000-00008E000000}"/>
    <cellStyle name="_TH SPE IF Total_Scenario 3" xfId="167" xr:uid="{00000000-0005-0000-0000-00008F000000}"/>
    <cellStyle name="_TH SPE Total 2010.12 IF CF Working (Scenario 1) v1 (20110411)" xfId="168" xr:uid="{00000000-0005-0000-0000-000090000000}"/>
    <cellStyle name="_TH SPE Total 2010.12 IF CF Working (Scenario 2) v1 (20110411)" xfId="169" xr:uid="{00000000-0005-0000-0000-000091000000}"/>
    <cellStyle name="_TH SPE Total 2010.12 IF CF Working (Scenario 3) v1 (20110411)" xfId="170" xr:uid="{00000000-0005-0000-0000-000092000000}"/>
    <cellStyle name="_Value of Inforce &amp; NB YRT v1.5 (29122009)" xfId="171" xr:uid="{00000000-0005-0000-0000-000093000000}"/>
    <cellStyle name="_WL TB 310307" xfId="172" xr:uid="{00000000-0005-0000-0000-000094000000}"/>
    <cellStyle name="_WL TB 310307_CN_YRT-EB_NB_(Local&amp;HK_manually_adj)_30112009" xfId="173" xr:uid="{00000000-0005-0000-0000-000095000000}"/>
    <cellStyle name="_WL TB 310307_Copy of Value of Inforce &amp; NB YRT v1.5 (29122009)_Checking_TEMP_DELETE_AFTER_USE" xfId="174" xr:uid="{00000000-0005-0000-0000-000096000000}"/>
    <cellStyle name="_WL TB 310307_TH SPE IF Total_Scenario 1(Base)" xfId="175" xr:uid="{00000000-0005-0000-0000-000097000000}"/>
    <cellStyle name="_WL TB 310307_TH SPE IF Total_Scenario 2" xfId="176" xr:uid="{00000000-0005-0000-0000-000098000000}"/>
    <cellStyle name="_WL TB 310307_TH SPE IF Total_Scenario 3" xfId="177" xr:uid="{00000000-0005-0000-0000-000099000000}"/>
    <cellStyle name="_WL TB 310307_TH SPE Total 2010.12 IF CF Working (Scenario 1) v1 (20110411)" xfId="178" xr:uid="{00000000-0005-0000-0000-00009A000000}"/>
    <cellStyle name="_WL TB 310307_TH SPE Total 2010.12 IF CF Working (Scenario 2) v1 (20110411)" xfId="179" xr:uid="{00000000-0005-0000-0000-00009B000000}"/>
    <cellStyle name="_WL TB 310307_TH SPE Total 2010.12 IF CF Working (Scenario 3) v1 (20110411)" xfId="180" xr:uid="{00000000-0005-0000-0000-00009C000000}"/>
    <cellStyle name="_WL TB 310307_Value of Inforce &amp; NB YRT v1.5 (29122009)" xfId="181" xr:uid="{00000000-0005-0000-0000-00009D000000}"/>
    <cellStyle name="=C:\WINNT\SYSTEM32\COMMAND.COM" xfId="182" xr:uid="{00000000-0005-0000-0000-00009E000000}"/>
    <cellStyle name="1Normal" xfId="183" xr:uid="{00000000-0005-0000-0000-00009F000000}"/>
    <cellStyle name="20% - Accent1 2" xfId="184" xr:uid="{00000000-0005-0000-0000-0000A0000000}"/>
    <cellStyle name="20% - Accent1 3" xfId="185" xr:uid="{00000000-0005-0000-0000-0000A1000000}"/>
    <cellStyle name="20% - Accent2 2" xfId="186" xr:uid="{00000000-0005-0000-0000-0000A2000000}"/>
    <cellStyle name="20% - Accent2 3" xfId="187" xr:uid="{00000000-0005-0000-0000-0000A3000000}"/>
    <cellStyle name="20% - Accent3 2" xfId="188" xr:uid="{00000000-0005-0000-0000-0000A4000000}"/>
    <cellStyle name="20% - Accent3 3" xfId="189" xr:uid="{00000000-0005-0000-0000-0000A5000000}"/>
    <cellStyle name="20% - Accent4 2" xfId="190" xr:uid="{00000000-0005-0000-0000-0000A6000000}"/>
    <cellStyle name="20% - Accent4 3" xfId="191" xr:uid="{00000000-0005-0000-0000-0000A7000000}"/>
    <cellStyle name="20% - Accent5 2" xfId="192" xr:uid="{00000000-0005-0000-0000-0000A8000000}"/>
    <cellStyle name="20% - Accent5 3" xfId="193" xr:uid="{00000000-0005-0000-0000-0000A9000000}"/>
    <cellStyle name="20% - Accent6 2" xfId="194" xr:uid="{00000000-0005-0000-0000-0000AA000000}"/>
    <cellStyle name="20% - Accent6 3" xfId="195" xr:uid="{00000000-0005-0000-0000-0000AB000000}"/>
    <cellStyle name="20% - 輔色1" xfId="196" xr:uid="{00000000-0005-0000-0000-0000AC000000}"/>
    <cellStyle name="20% - 輔色2" xfId="197" xr:uid="{00000000-0005-0000-0000-0000AD000000}"/>
    <cellStyle name="20% - 輔色3" xfId="198" xr:uid="{00000000-0005-0000-0000-0000AE000000}"/>
    <cellStyle name="20% - 輔色4" xfId="199" xr:uid="{00000000-0005-0000-0000-0000AF000000}"/>
    <cellStyle name="20% - 輔色5" xfId="200" xr:uid="{00000000-0005-0000-0000-0000B0000000}"/>
    <cellStyle name="20% - 輔色6" xfId="201" xr:uid="{00000000-0005-0000-0000-0000B1000000}"/>
    <cellStyle name="40% - Accent1 2" xfId="202" xr:uid="{00000000-0005-0000-0000-0000B2000000}"/>
    <cellStyle name="40% - Accent1 3" xfId="203" xr:uid="{00000000-0005-0000-0000-0000B3000000}"/>
    <cellStyle name="40% - Accent2 2" xfId="204" xr:uid="{00000000-0005-0000-0000-0000B4000000}"/>
    <cellStyle name="40% - Accent2 3" xfId="205" xr:uid="{00000000-0005-0000-0000-0000B5000000}"/>
    <cellStyle name="40% - Accent3 2" xfId="206" xr:uid="{00000000-0005-0000-0000-0000B6000000}"/>
    <cellStyle name="40% - Accent3 3" xfId="207" xr:uid="{00000000-0005-0000-0000-0000B7000000}"/>
    <cellStyle name="40% - Accent4 2" xfId="208" xr:uid="{00000000-0005-0000-0000-0000B8000000}"/>
    <cellStyle name="40% - Accent4 3" xfId="209" xr:uid="{00000000-0005-0000-0000-0000B9000000}"/>
    <cellStyle name="40% - Accent5 2" xfId="210" xr:uid="{00000000-0005-0000-0000-0000BA000000}"/>
    <cellStyle name="40% - Accent5 3" xfId="211" xr:uid="{00000000-0005-0000-0000-0000BB000000}"/>
    <cellStyle name="40% - Accent6 2" xfId="212" xr:uid="{00000000-0005-0000-0000-0000BC000000}"/>
    <cellStyle name="40% - Accent6 3" xfId="213" xr:uid="{00000000-0005-0000-0000-0000BD000000}"/>
    <cellStyle name="40% - 輔色1" xfId="214" xr:uid="{00000000-0005-0000-0000-0000BE000000}"/>
    <cellStyle name="40% - 輔色2" xfId="215" xr:uid="{00000000-0005-0000-0000-0000BF000000}"/>
    <cellStyle name="40% - 輔色3" xfId="216" xr:uid="{00000000-0005-0000-0000-0000C0000000}"/>
    <cellStyle name="40% - 輔色4" xfId="217" xr:uid="{00000000-0005-0000-0000-0000C1000000}"/>
    <cellStyle name="40% - 輔色5" xfId="218" xr:uid="{00000000-0005-0000-0000-0000C2000000}"/>
    <cellStyle name="40% - 輔色6" xfId="219" xr:uid="{00000000-0005-0000-0000-0000C3000000}"/>
    <cellStyle name="60% - Accent1 2" xfId="220" xr:uid="{00000000-0005-0000-0000-0000C4000000}"/>
    <cellStyle name="60% - Accent2 2" xfId="221" xr:uid="{00000000-0005-0000-0000-0000C5000000}"/>
    <cellStyle name="60% - Accent3 2" xfId="222" xr:uid="{00000000-0005-0000-0000-0000C6000000}"/>
    <cellStyle name="60% - Accent4 2" xfId="223" xr:uid="{00000000-0005-0000-0000-0000C7000000}"/>
    <cellStyle name="60% - Accent5 2" xfId="224" xr:uid="{00000000-0005-0000-0000-0000C8000000}"/>
    <cellStyle name="60% - Accent6 2" xfId="225" xr:uid="{00000000-0005-0000-0000-0000C9000000}"/>
    <cellStyle name="60% - 輔色1" xfId="226" xr:uid="{00000000-0005-0000-0000-0000CA000000}"/>
    <cellStyle name="60% - 輔色2" xfId="227" xr:uid="{00000000-0005-0000-0000-0000CB000000}"/>
    <cellStyle name="60% - 輔色3" xfId="228" xr:uid="{00000000-0005-0000-0000-0000CC000000}"/>
    <cellStyle name="60% - 輔色4" xfId="229" xr:uid="{00000000-0005-0000-0000-0000CD000000}"/>
    <cellStyle name="60% - 輔色5" xfId="230" xr:uid="{00000000-0005-0000-0000-0000CE000000}"/>
    <cellStyle name="60% - 輔色6" xfId="231" xr:uid="{00000000-0005-0000-0000-0000CF000000}"/>
    <cellStyle name="Accent1 - 20%" xfId="232" xr:uid="{00000000-0005-0000-0000-0000D0000000}"/>
    <cellStyle name="Accent1 - 40%" xfId="233" xr:uid="{00000000-0005-0000-0000-0000D1000000}"/>
    <cellStyle name="Accent1 - 60%" xfId="234" xr:uid="{00000000-0005-0000-0000-0000D2000000}"/>
    <cellStyle name="Accent1 2" xfId="235" xr:uid="{00000000-0005-0000-0000-0000D3000000}"/>
    <cellStyle name="Accent2 - 20%" xfId="236" xr:uid="{00000000-0005-0000-0000-0000D4000000}"/>
    <cellStyle name="Accent2 - 40%" xfId="237" xr:uid="{00000000-0005-0000-0000-0000D5000000}"/>
    <cellStyle name="Accent2 - 60%" xfId="238" xr:uid="{00000000-0005-0000-0000-0000D6000000}"/>
    <cellStyle name="Accent2 2" xfId="239" xr:uid="{00000000-0005-0000-0000-0000D7000000}"/>
    <cellStyle name="Accent3 - 20%" xfId="240" xr:uid="{00000000-0005-0000-0000-0000D8000000}"/>
    <cellStyle name="Accent3 - 40%" xfId="241" xr:uid="{00000000-0005-0000-0000-0000D9000000}"/>
    <cellStyle name="Accent3 - 60%" xfId="242" xr:uid="{00000000-0005-0000-0000-0000DA000000}"/>
    <cellStyle name="Accent3 2" xfId="243" xr:uid="{00000000-0005-0000-0000-0000DB000000}"/>
    <cellStyle name="Accent4 - 20%" xfId="244" xr:uid="{00000000-0005-0000-0000-0000DC000000}"/>
    <cellStyle name="Accent4 - 40%" xfId="245" xr:uid="{00000000-0005-0000-0000-0000DD000000}"/>
    <cellStyle name="Accent4 - 60%" xfId="246" xr:uid="{00000000-0005-0000-0000-0000DE000000}"/>
    <cellStyle name="Accent4 2" xfId="247" xr:uid="{00000000-0005-0000-0000-0000DF000000}"/>
    <cellStyle name="Accent5 - 20%" xfId="248" xr:uid="{00000000-0005-0000-0000-0000E0000000}"/>
    <cellStyle name="Accent5 - 40%" xfId="249" xr:uid="{00000000-0005-0000-0000-0000E1000000}"/>
    <cellStyle name="Accent5 - 60%" xfId="250" xr:uid="{00000000-0005-0000-0000-0000E2000000}"/>
    <cellStyle name="Accent5 2" xfId="251" xr:uid="{00000000-0005-0000-0000-0000E3000000}"/>
    <cellStyle name="Accent6 - 20%" xfId="252" xr:uid="{00000000-0005-0000-0000-0000E4000000}"/>
    <cellStyle name="Accent6 - 40%" xfId="253" xr:uid="{00000000-0005-0000-0000-0000E5000000}"/>
    <cellStyle name="Accent6 - 60%" xfId="254" xr:uid="{00000000-0005-0000-0000-0000E6000000}"/>
    <cellStyle name="Accent6 2" xfId="255" xr:uid="{00000000-0005-0000-0000-0000E7000000}"/>
    <cellStyle name="ak" xfId="256" xr:uid="{00000000-0005-0000-0000-0000E8000000}"/>
    <cellStyle name="Bad 2" xfId="257" xr:uid="{00000000-0005-0000-0000-0000E9000000}"/>
    <cellStyle name="Calc Currency (0)" xfId="258" xr:uid="{00000000-0005-0000-0000-0000EA000000}"/>
    <cellStyle name="Calc Currency (2)" xfId="259" xr:uid="{00000000-0005-0000-0000-0000EB000000}"/>
    <cellStyle name="Calc Percent (0)" xfId="260" xr:uid="{00000000-0005-0000-0000-0000EC000000}"/>
    <cellStyle name="Calc Percent (1)" xfId="261" xr:uid="{00000000-0005-0000-0000-0000ED000000}"/>
    <cellStyle name="Calc Percent (2)" xfId="262" xr:uid="{00000000-0005-0000-0000-0000EE000000}"/>
    <cellStyle name="Calc Units (0)" xfId="263" xr:uid="{00000000-0005-0000-0000-0000EF000000}"/>
    <cellStyle name="Calc Units (1)" xfId="264" xr:uid="{00000000-0005-0000-0000-0000F0000000}"/>
    <cellStyle name="Calc Units (2)" xfId="265" xr:uid="{00000000-0005-0000-0000-0000F1000000}"/>
    <cellStyle name="Calculation 2" xfId="266" xr:uid="{00000000-0005-0000-0000-0000F2000000}"/>
    <cellStyle name="category" xfId="267" xr:uid="{00000000-0005-0000-0000-0000F3000000}"/>
    <cellStyle name="Change A&amp;ll" xfId="461" xr:uid="{00000000-0005-0000-0000-0000F4000000}"/>
    <cellStyle name="Check Cell 2" xfId="268" xr:uid="{00000000-0005-0000-0000-0000F5000000}"/>
    <cellStyle name="ColumnHeading" xfId="269" xr:uid="{00000000-0005-0000-0000-0000F6000000}"/>
    <cellStyle name="Comma" xfId="2" builtinId="3"/>
    <cellStyle name="Comma  - Style1" xfId="270" xr:uid="{00000000-0005-0000-0000-0000F8000000}"/>
    <cellStyle name="Comma  - Style2" xfId="271" xr:uid="{00000000-0005-0000-0000-0000F9000000}"/>
    <cellStyle name="Comma  - Style3" xfId="272" xr:uid="{00000000-0005-0000-0000-0000FA000000}"/>
    <cellStyle name="Comma  - Style4" xfId="273" xr:uid="{00000000-0005-0000-0000-0000FB000000}"/>
    <cellStyle name="Comma  - Style5" xfId="274" xr:uid="{00000000-0005-0000-0000-0000FC000000}"/>
    <cellStyle name="Comma  - Style6" xfId="275" xr:uid="{00000000-0005-0000-0000-0000FD000000}"/>
    <cellStyle name="Comma  - Style7" xfId="276" xr:uid="{00000000-0005-0000-0000-0000FE000000}"/>
    <cellStyle name="Comma  - Style8" xfId="277" xr:uid="{00000000-0005-0000-0000-0000FF000000}"/>
    <cellStyle name="Comma [0] 2" xfId="12" xr:uid="{00000000-0005-0000-0000-000000010000}"/>
    <cellStyle name="Comma [00]" xfId="278" xr:uid="{00000000-0005-0000-0000-000001010000}"/>
    <cellStyle name="Comma 2" xfId="19" xr:uid="{00000000-0005-0000-0000-000002010000}"/>
    <cellStyle name="Comma 2 2" xfId="462" xr:uid="{00000000-0005-0000-0000-000003010000}"/>
    <cellStyle name="Comma 2 3" xfId="468" xr:uid="{00000000-0005-0000-0000-000004010000}"/>
    <cellStyle name="Comma 2 4" xfId="479" xr:uid="{00000000-0005-0000-0000-000005010000}"/>
    <cellStyle name="Comma 3" xfId="279" xr:uid="{00000000-0005-0000-0000-000006010000}"/>
    <cellStyle name="Comma 4" xfId="455" xr:uid="{00000000-0005-0000-0000-000007010000}"/>
    <cellStyle name="Comma 4 2" xfId="470" xr:uid="{00000000-0005-0000-0000-000008010000}"/>
    <cellStyle name="Comma 5" xfId="466" xr:uid="{00000000-0005-0000-0000-000009010000}"/>
    <cellStyle name="Comma 6" xfId="11" xr:uid="{00000000-0005-0000-0000-00000A010000}"/>
    <cellStyle name="Comma 6 2" xfId="474" xr:uid="{00000000-0005-0000-0000-00000B010000}"/>
    <cellStyle name="Comma 7" xfId="478" xr:uid="{00000000-0005-0000-0000-00000C010000}"/>
    <cellStyle name="Comma 7 2" xfId="484" xr:uid="{00000000-0005-0000-0000-00000D010000}"/>
    <cellStyle name="Comma 8" xfId="482" xr:uid="{00000000-0005-0000-0000-00000E010000}"/>
    <cellStyle name="Comma0" xfId="280" xr:uid="{00000000-0005-0000-0000-00000F010000}"/>
    <cellStyle name="Currency [00]" xfId="281" xr:uid="{00000000-0005-0000-0000-000010010000}"/>
    <cellStyle name="Currency0" xfId="282" xr:uid="{00000000-0005-0000-0000-000011010000}"/>
    <cellStyle name="Currency1" xfId="283" xr:uid="{00000000-0005-0000-0000-000012010000}"/>
    <cellStyle name="CVD Number" xfId="284" xr:uid="{00000000-0005-0000-0000-000013010000}"/>
    <cellStyle name="Date" xfId="285" xr:uid="{00000000-0005-0000-0000-000014010000}"/>
    <cellStyle name="Date Short" xfId="286" xr:uid="{00000000-0005-0000-0000-000015010000}"/>
    <cellStyle name="DELTA" xfId="287" xr:uid="{00000000-0005-0000-0000-000016010000}"/>
    <cellStyle name="dgw" xfId="288" xr:uid="{00000000-0005-0000-0000-000017010000}"/>
    <cellStyle name="Emphasis 1" xfId="289" xr:uid="{00000000-0005-0000-0000-000018010000}"/>
    <cellStyle name="Emphasis 2" xfId="290" xr:uid="{00000000-0005-0000-0000-000019010000}"/>
    <cellStyle name="Emphasis 3" xfId="291" xr:uid="{00000000-0005-0000-0000-00001A010000}"/>
    <cellStyle name="Enter Currency (0)" xfId="292" xr:uid="{00000000-0005-0000-0000-00001B010000}"/>
    <cellStyle name="Enter Currency (2)" xfId="293" xr:uid="{00000000-0005-0000-0000-00001C010000}"/>
    <cellStyle name="Enter Units (0)" xfId="294" xr:uid="{00000000-0005-0000-0000-00001D010000}"/>
    <cellStyle name="Enter Units (1)" xfId="295" xr:uid="{00000000-0005-0000-0000-00001E010000}"/>
    <cellStyle name="Enter Units (2)" xfId="296" xr:uid="{00000000-0005-0000-0000-00001F010000}"/>
    <cellStyle name="Euro" xfId="297" xr:uid="{00000000-0005-0000-0000-000020010000}"/>
    <cellStyle name="Explanatory Text 2" xfId="298" xr:uid="{00000000-0005-0000-0000-000021010000}"/>
    <cellStyle name="Fixed" xfId="299" xr:uid="{00000000-0005-0000-0000-000022010000}"/>
    <cellStyle name="Formula" xfId="3" xr:uid="{00000000-0005-0000-0000-000023010000}"/>
    <cellStyle name="Good 2" xfId="300" xr:uid="{00000000-0005-0000-0000-000024010000}"/>
    <cellStyle name="Grey" xfId="301" xr:uid="{00000000-0005-0000-0000-000025010000}"/>
    <cellStyle name="HEADER" xfId="302" xr:uid="{00000000-0005-0000-0000-000026010000}"/>
    <cellStyle name="Header1" xfId="303" xr:uid="{00000000-0005-0000-0000-000027010000}"/>
    <cellStyle name="Header2" xfId="304" xr:uid="{00000000-0005-0000-0000-000028010000}"/>
    <cellStyle name="Heading" xfId="305" xr:uid="{00000000-0005-0000-0000-000029010000}"/>
    <cellStyle name="Heading 1 2" xfId="306" xr:uid="{00000000-0005-0000-0000-00002A010000}"/>
    <cellStyle name="Heading 2 2" xfId="307" xr:uid="{00000000-0005-0000-0000-00002B010000}"/>
    <cellStyle name="Heading 3 2" xfId="308" xr:uid="{00000000-0005-0000-0000-00002C010000}"/>
    <cellStyle name="Heading 4 2" xfId="309" xr:uid="{00000000-0005-0000-0000-00002D010000}"/>
    <cellStyle name="Hyperlink" xfId="476" builtinId="8"/>
    <cellStyle name="Index Number" xfId="310" xr:uid="{00000000-0005-0000-0000-00002F010000}"/>
    <cellStyle name="Inhaltsverzeichnispunke" xfId="311" xr:uid="{00000000-0005-0000-0000-000030010000}"/>
    <cellStyle name="Input [yellow]" xfId="312" xr:uid="{00000000-0005-0000-0000-000031010000}"/>
    <cellStyle name="Input 2" xfId="313" xr:uid="{00000000-0005-0000-0000-000032010000}"/>
    <cellStyle name="Integer" xfId="314" xr:uid="{00000000-0005-0000-0000-000033010000}"/>
    <cellStyle name="Integer 2" xfId="315" xr:uid="{00000000-0005-0000-0000-000034010000}"/>
    <cellStyle name="Integer 3" xfId="316" xr:uid="{00000000-0005-0000-0000-000035010000}"/>
    <cellStyle name="Integer 4" xfId="317" xr:uid="{00000000-0005-0000-0000-000036010000}"/>
    <cellStyle name="Link Currency (0)" xfId="318" xr:uid="{00000000-0005-0000-0000-000037010000}"/>
    <cellStyle name="Linked Cell 2" xfId="319" xr:uid="{00000000-0005-0000-0000-000038010000}"/>
    <cellStyle name="Milliers [0]_laroux" xfId="320" xr:uid="{00000000-0005-0000-0000-000039010000}"/>
    <cellStyle name="Milliers_laroux" xfId="321" xr:uid="{00000000-0005-0000-0000-00003A010000}"/>
    <cellStyle name="Model" xfId="322" xr:uid="{00000000-0005-0000-0000-00003B010000}"/>
    <cellStyle name="Mon?aire [0]_laroux" xfId="323" xr:uid="{00000000-0005-0000-0000-00003C010000}"/>
    <cellStyle name="Mon?aire_laroux" xfId="324" xr:uid="{00000000-0005-0000-0000-00003D010000}"/>
    <cellStyle name="Mon騁aire [0]_laroux" xfId="325" xr:uid="{00000000-0005-0000-0000-00003E010000}"/>
    <cellStyle name="Mon騁aire_laroux" xfId="326" xr:uid="{00000000-0005-0000-0000-00003F010000}"/>
    <cellStyle name="Neutral 2" xfId="327" xr:uid="{00000000-0005-0000-0000-000040010000}"/>
    <cellStyle name="NoL" xfId="20" xr:uid="{00000000-0005-0000-0000-000041010000}"/>
    <cellStyle name="Non d?fini" xfId="328" xr:uid="{00000000-0005-0000-0000-000042010000}"/>
    <cellStyle name="Nor}al" xfId="329" xr:uid="{00000000-0005-0000-0000-000043010000}"/>
    <cellStyle name="Normal" xfId="0" builtinId="0"/>
    <cellStyle name="Normal - Style1" xfId="330" xr:uid="{00000000-0005-0000-0000-000045010000}"/>
    <cellStyle name="Normal 10" xfId="473" xr:uid="{00000000-0005-0000-0000-000046010000}"/>
    <cellStyle name="Normal 11" xfId="481" xr:uid="{00000000-0005-0000-0000-000047010000}"/>
    <cellStyle name="Normal 12" xfId="463" xr:uid="{00000000-0005-0000-0000-000048010000}"/>
    <cellStyle name="Normal 13" xfId="485" xr:uid="{00000000-0005-0000-0000-000049010000}"/>
    <cellStyle name="Normal 2" xfId="4" xr:uid="{00000000-0005-0000-0000-00004A010000}"/>
    <cellStyle name="Normal 2 2" xfId="464" xr:uid="{00000000-0005-0000-0000-00004B010000}"/>
    <cellStyle name="Normal 2 2 2" xfId="483" xr:uid="{00000000-0005-0000-0000-00004C010000}"/>
    <cellStyle name="Normal 28 5" xfId="472" xr:uid="{00000000-0005-0000-0000-00004D010000}"/>
    <cellStyle name="Normal 3" xfId="8" xr:uid="{00000000-0005-0000-0000-00004E010000}"/>
    <cellStyle name="Normal 3 2" xfId="13" xr:uid="{00000000-0005-0000-0000-00004F010000}"/>
    <cellStyle name="Normal 3 3" xfId="331" xr:uid="{00000000-0005-0000-0000-000050010000}"/>
    <cellStyle name="Normal 4" xfId="9" xr:uid="{00000000-0005-0000-0000-000051010000}"/>
    <cellStyle name="Normal 4 2" xfId="332" xr:uid="{00000000-0005-0000-0000-000052010000}"/>
    <cellStyle name="Normal 5" xfId="333" xr:uid="{00000000-0005-0000-0000-000053010000}"/>
    <cellStyle name="Normal 6" xfId="454" xr:uid="{00000000-0005-0000-0000-000054010000}"/>
    <cellStyle name="Normal 6 2" xfId="469" xr:uid="{00000000-0005-0000-0000-000055010000}"/>
    <cellStyle name="Normal 6 3" xfId="475" xr:uid="{00000000-0005-0000-0000-000056010000}"/>
    <cellStyle name="Normal 7" xfId="459" xr:uid="{00000000-0005-0000-0000-000057010000}"/>
    <cellStyle name="Normal 8" xfId="465" xr:uid="{00000000-0005-0000-0000-000058010000}"/>
    <cellStyle name="Normal 9" xfId="477" xr:uid="{00000000-0005-0000-0000-000059010000}"/>
    <cellStyle name="Normalny_PRESIDE1" xfId="334" xr:uid="{00000000-0005-0000-0000-00005A010000}"/>
    <cellStyle name="Note 2" xfId="335" xr:uid="{00000000-0005-0000-0000-00005B010000}"/>
    <cellStyle name="Note 3" xfId="336" xr:uid="{00000000-0005-0000-0000-00005C010000}"/>
    <cellStyle name="Number 1" xfId="337" xr:uid="{00000000-0005-0000-0000-00005D010000}"/>
    <cellStyle name="Output 2" xfId="338" xr:uid="{00000000-0005-0000-0000-00005E010000}"/>
    <cellStyle name="OUTPUT AMOUNTS" xfId="339" xr:uid="{00000000-0005-0000-0000-00005F010000}"/>
    <cellStyle name="OUTPUT COLUMN HEADINGS" xfId="340" xr:uid="{00000000-0005-0000-0000-000060010000}"/>
    <cellStyle name="OUTPUT LINE ITEMS" xfId="341" xr:uid="{00000000-0005-0000-0000-000061010000}"/>
    <cellStyle name="OUTPUT REPORT HEADING" xfId="342" xr:uid="{00000000-0005-0000-0000-000062010000}"/>
    <cellStyle name="OUTPUT REPORT TITLE" xfId="343" xr:uid="{00000000-0005-0000-0000-000063010000}"/>
    <cellStyle name="Percent" xfId="5" builtinId="5"/>
    <cellStyle name="Percent [2]" xfId="344" xr:uid="{00000000-0005-0000-0000-000065010000}"/>
    <cellStyle name="Percent 2" xfId="6" xr:uid="{00000000-0005-0000-0000-000066010000}"/>
    <cellStyle name="Percent 2 2" xfId="23" xr:uid="{00000000-0005-0000-0000-000067010000}"/>
    <cellStyle name="Percent 2 3" xfId="457" xr:uid="{00000000-0005-0000-0000-000068010000}"/>
    <cellStyle name="Percent 3" xfId="345" xr:uid="{00000000-0005-0000-0000-000069010000}"/>
    <cellStyle name="Percent 3 2" xfId="346" xr:uid="{00000000-0005-0000-0000-00006A010000}"/>
    <cellStyle name="Percent 3 2 2" xfId="347" xr:uid="{00000000-0005-0000-0000-00006B010000}"/>
    <cellStyle name="Percent 4" xfId="10" xr:uid="{00000000-0005-0000-0000-00006C010000}"/>
    <cellStyle name="Percent 4 2" xfId="348" xr:uid="{00000000-0005-0000-0000-00006D010000}"/>
    <cellStyle name="Percent 4 3" xfId="458" xr:uid="{00000000-0005-0000-0000-00006E010000}"/>
    <cellStyle name="Percent 4 4" xfId="24" xr:uid="{00000000-0005-0000-0000-00006F010000}"/>
    <cellStyle name="Percent 5" xfId="349" xr:uid="{00000000-0005-0000-0000-000070010000}"/>
    <cellStyle name="Percent 6" xfId="456" xr:uid="{00000000-0005-0000-0000-000071010000}"/>
    <cellStyle name="Percent 6 2" xfId="471" xr:uid="{00000000-0005-0000-0000-000072010000}"/>
    <cellStyle name="Percent 7" xfId="460" xr:uid="{00000000-0005-0000-0000-000073010000}"/>
    <cellStyle name="Percent 8" xfId="467" xr:uid="{00000000-0005-0000-0000-000074010000}"/>
    <cellStyle name="Percent 9" xfId="480" xr:uid="{00000000-0005-0000-0000-000075010000}"/>
    <cellStyle name="PSChar" xfId="350" xr:uid="{00000000-0005-0000-0000-000076010000}"/>
    <cellStyle name="PSHeading" xfId="351" xr:uid="{00000000-0005-0000-0000-000077010000}"/>
    <cellStyle name="QIS2CalcCell" xfId="21" xr:uid="{00000000-0005-0000-0000-000078010000}"/>
    <cellStyle name="QIS2Locked" xfId="22" xr:uid="{00000000-0005-0000-0000-000079010000}"/>
    <cellStyle name="SAPBEXaggData" xfId="352" xr:uid="{00000000-0005-0000-0000-00007A010000}"/>
    <cellStyle name="SAPBEXaggDataEmph" xfId="353" xr:uid="{00000000-0005-0000-0000-00007B010000}"/>
    <cellStyle name="SAPBEXaggItem" xfId="354" xr:uid="{00000000-0005-0000-0000-00007C010000}"/>
    <cellStyle name="SAPBEXaggItemX" xfId="355" xr:uid="{00000000-0005-0000-0000-00007D010000}"/>
    <cellStyle name="SAPBEXchaText" xfId="356" xr:uid="{00000000-0005-0000-0000-00007E010000}"/>
    <cellStyle name="SAPBEXexcBad7" xfId="357" xr:uid="{00000000-0005-0000-0000-00007F010000}"/>
    <cellStyle name="SAPBEXexcBad8" xfId="358" xr:uid="{00000000-0005-0000-0000-000080010000}"/>
    <cellStyle name="SAPBEXexcBad9" xfId="359" xr:uid="{00000000-0005-0000-0000-000081010000}"/>
    <cellStyle name="SAPBEXexcCritical4" xfId="360" xr:uid="{00000000-0005-0000-0000-000082010000}"/>
    <cellStyle name="SAPBEXexcCritical5" xfId="361" xr:uid="{00000000-0005-0000-0000-000083010000}"/>
    <cellStyle name="SAPBEXexcCritical6" xfId="362" xr:uid="{00000000-0005-0000-0000-000084010000}"/>
    <cellStyle name="SAPBEXexcGood1" xfId="363" xr:uid="{00000000-0005-0000-0000-000085010000}"/>
    <cellStyle name="SAPBEXexcGood2" xfId="364" xr:uid="{00000000-0005-0000-0000-000086010000}"/>
    <cellStyle name="SAPBEXexcGood3" xfId="365" xr:uid="{00000000-0005-0000-0000-000087010000}"/>
    <cellStyle name="SAPBEXfilterDrill" xfId="366" xr:uid="{00000000-0005-0000-0000-000088010000}"/>
    <cellStyle name="SAPBEXfilterItem" xfId="367" xr:uid="{00000000-0005-0000-0000-000089010000}"/>
    <cellStyle name="SAPBEXfilterText" xfId="368" xr:uid="{00000000-0005-0000-0000-00008A010000}"/>
    <cellStyle name="SAPBEXformats" xfId="369" xr:uid="{00000000-0005-0000-0000-00008B010000}"/>
    <cellStyle name="SAPBEXheaderItem" xfId="370" xr:uid="{00000000-0005-0000-0000-00008C010000}"/>
    <cellStyle name="SAPBEXheaderText" xfId="371" xr:uid="{00000000-0005-0000-0000-00008D010000}"/>
    <cellStyle name="SAPBEXHLevel0" xfId="372" xr:uid="{00000000-0005-0000-0000-00008E010000}"/>
    <cellStyle name="SAPBEXHLevel0X" xfId="373" xr:uid="{00000000-0005-0000-0000-00008F010000}"/>
    <cellStyle name="SAPBEXHLevel1" xfId="374" xr:uid="{00000000-0005-0000-0000-000090010000}"/>
    <cellStyle name="SAPBEXHLevel1X" xfId="375" xr:uid="{00000000-0005-0000-0000-000091010000}"/>
    <cellStyle name="SAPBEXHLevel2" xfId="376" xr:uid="{00000000-0005-0000-0000-000092010000}"/>
    <cellStyle name="SAPBEXHLevel2X" xfId="377" xr:uid="{00000000-0005-0000-0000-000093010000}"/>
    <cellStyle name="SAPBEXHLevel3" xfId="378" xr:uid="{00000000-0005-0000-0000-000094010000}"/>
    <cellStyle name="SAPBEXHLevel3X" xfId="379" xr:uid="{00000000-0005-0000-0000-000095010000}"/>
    <cellStyle name="SAPBEXinputData" xfId="380" xr:uid="{00000000-0005-0000-0000-000096010000}"/>
    <cellStyle name="SAPBEXItemHeader" xfId="381" xr:uid="{00000000-0005-0000-0000-000097010000}"/>
    <cellStyle name="SAPBEXresData" xfId="382" xr:uid="{00000000-0005-0000-0000-000098010000}"/>
    <cellStyle name="SAPBEXresDataEmph" xfId="383" xr:uid="{00000000-0005-0000-0000-000099010000}"/>
    <cellStyle name="SAPBEXresItem" xfId="384" xr:uid="{00000000-0005-0000-0000-00009A010000}"/>
    <cellStyle name="SAPBEXresItemX" xfId="385" xr:uid="{00000000-0005-0000-0000-00009B010000}"/>
    <cellStyle name="SAPBEXstdData" xfId="386" xr:uid="{00000000-0005-0000-0000-00009C010000}"/>
    <cellStyle name="SAPBEXstdDataEmph" xfId="387" xr:uid="{00000000-0005-0000-0000-00009D010000}"/>
    <cellStyle name="SAPBEXstdItem" xfId="388" xr:uid="{00000000-0005-0000-0000-00009E010000}"/>
    <cellStyle name="SAPBEXstdItemX" xfId="389" xr:uid="{00000000-0005-0000-0000-00009F010000}"/>
    <cellStyle name="SAPBEXtitle" xfId="390" xr:uid="{00000000-0005-0000-0000-0000A0010000}"/>
    <cellStyle name="SAPBEXunassignedItem" xfId="391" xr:uid="{00000000-0005-0000-0000-0000A1010000}"/>
    <cellStyle name="SAPBEXundefined" xfId="392" xr:uid="{00000000-0005-0000-0000-0000A2010000}"/>
    <cellStyle name="Sheet Title" xfId="393" xr:uid="{00000000-0005-0000-0000-0000A3010000}"/>
    <cellStyle name="Style 1" xfId="14" xr:uid="{00000000-0005-0000-0000-0000A4010000}"/>
    <cellStyle name="Style 1 2" xfId="394" xr:uid="{00000000-0005-0000-0000-0000A5010000}"/>
    <cellStyle name="Style 2" xfId="15" xr:uid="{00000000-0005-0000-0000-0000A6010000}"/>
    <cellStyle name="Style 3" xfId="16" xr:uid="{00000000-0005-0000-0000-0000A7010000}"/>
    <cellStyle name="Style 4" xfId="17" xr:uid="{00000000-0005-0000-0000-0000A8010000}"/>
    <cellStyle name="Style 5" xfId="18" xr:uid="{00000000-0005-0000-0000-0000A9010000}"/>
    <cellStyle name="subhead" xfId="395" xr:uid="{00000000-0005-0000-0000-0000AA010000}"/>
    <cellStyle name="Times New Roman" xfId="396" xr:uid="{00000000-0005-0000-0000-0000AB010000}"/>
    <cellStyle name="Title 2" xfId="397" xr:uid="{00000000-0005-0000-0000-0000AC010000}"/>
    <cellStyle name="Total 2" xfId="398" xr:uid="{00000000-0005-0000-0000-0000AD010000}"/>
    <cellStyle name="Tusental (0)_pldt" xfId="399" xr:uid="{00000000-0005-0000-0000-0000AE010000}"/>
    <cellStyle name="Tusental_pldt" xfId="400" xr:uid="{00000000-0005-0000-0000-0000AF010000}"/>
    <cellStyle name="UB1" xfId="401" xr:uid="{00000000-0005-0000-0000-0000B0010000}"/>
    <cellStyle name="UB2" xfId="402" xr:uid="{00000000-0005-0000-0000-0000B1010000}"/>
    <cellStyle name="Valuta (0)_pldt" xfId="403" xr:uid="{00000000-0005-0000-0000-0000B2010000}"/>
    <cellStyle name="Valuta_pldt" xfId="404" xr:uid="{00000000-0005-0000-0000-0000B3010000}"/>
    <cellStyle name="Warning Text 2" xfId="405" xr:uid="{00000000-0005-0000-0000-0000B4010000}"/>
    <cellStyle name="Yellow" xfId="7" xr:uid="{00000000-0005-0000-0000-0000B5010000}"/>
    <cellStyle name="เครื่องหมายจุลภาค_Book3" xfId="406" xr:uid="{00000000-0005-0000-0000-0000B6010000}"/>
    <cellStyle name="ปกติ_Book3" xfId="407" xr:uid="{00000000-0005-0000-0000-0000B7010000}"/>
    <cellStyle name="쉼표 [0]_EXHA" xfId="408" xr:uid="{00000000-0005-0000-0000-0000B8010000}"/>
    <cellStyle name="쉼표_EXH B-11" xfId="409" xr:uid="{00000000-0005-0000-0000-0000B9010000}"/>
    <cellStyle name="콤마 [0]_0203" xfId="410" xr:uid="{00000000-0005-0000-0000-0000BA010000}"/>
    <cellStyle name="콤마_0203" xfId="411" xr:uid="{00000000-0005-0000-0000-0000BB010000}"/>
    <cellStyle name="통화_SCH50" xfId="412" xr:uid="{00000000-0005-0000-0000-0000BC010000}"/>
    <cellStyle name="표준_EXHA" xfId="413" xr:uid="{00000000-0005-0000-0000-0000BD010000}"/>
    <cellStyle name="一般_App 5-Tax Analysis-NS 3Q05" xfId="414" xr:uid="{00000000-0005-0000-0000-0000BE010000}"/>
    <cellStyle name="中等" xfId="415" xr:uid="{00000000-0005-0000-0000-0000BF010000}"/>
    <cellStyle name="備註" xfId="416" xr:uid="{00000000-0005-0000-0000-0000C0010000}"/>
    <cellStyle name="円" xfId="417" xr:uid="{00000000-0005-0000-0000-0000C1010000}"/>
    <cellStyle name="千位分隔_PBC. Actuarial. Reserve template 2003 v1" xfId="418" xr:uid="{00000000-0005-0000-0000-0000C2010000}"/>
    <cellStyle name="千分位_Manucomparison" xfId="419" xr:uid="{00000000-0005-0000-0000-0000C3010000}"/>
    <cellStyle name="合計" xfId="420" xr:uid="{00000000-0005-0000-0000-0000C4010000}"/>
    <cellStyle name="壞" xfId="421" xr:uid="{00000000-0005-0000-0000-0000C5010000}"/>
    <cellStyle name="好" xfId="422" xr:uid="{00000000-0005-0000-0000-0000C6010000}"/>
    <cellStyle name="常规_ACTUARY_REPORT0311" xfId="423" xr:uid="{00000000-0005-0000-0000-0000C7010000}"/>
    <cellStyle name="未定義" xfId="424" xr:uid="{00000000-0005-0000-0000-0000C8010000}"/>
    <cellStyle name="桁区切り [0.00]_By-Line form" xfId="425" xr:uid="{00000000-0005-0000-0000-0000C9010000}"/>
    <cellStyle name="桁区切り_2003.1Qest(0214)" xfId="426" xr:uid="{00000000-0005-0000-0000-0000CA010000}"/>
    <cellStyle name="桁蟻唇Ｆ [0.00]_Sheet1" xfId="427" xr:uid="{00000000-0005-0000-0000-0000CB010000}"/>
    <cellStyle name="桁蟻唇Ｆ_Sheet1" xfId="428" xr:uid="{00000000-0005-0000-0000-0000CC010000}"/>
    <cellStyle name="標準_(Edison) SI Package" xfId="429" xr:uid="{00000000-0005-0000-0000-0000CD010000}"/>
    <cellStyle name="標準2" xfId="430" xr:uid="{00000000-0005-0000-0000-0000CE010000}"/>
    <cellStyle name="標題" xfId="431" xr:uid="{00000000-0005-0000-0000-0000CF010000}"/>
    <cellStyle name="標題 1" xfId="432" xr:uid="{00000000-0005-0000-0000-0000D0010000}"/>
    <cellStyle name="標題 2" xfId="433" xr:uid="{00000000-0005-0000-0000-0000D1010000}"/>
    <cellStyle name="標題 3" xfId="434" xr:uid="{00000000-0005-0000-0000-0000D2010000}"/>
    <cellStyle name="標題 4" xfId="435" xr:uid="{00000000-0005-0000-0000-0000D3010000}"/>
    <cellStyle name="樣式 1" xfId="436" xr:uid="{00000000-0005-0000-0000-0000D4010000}"/>
    <cellStyle name="檢查儲存格" xfId="437" xr:uid="{00000000-0005-0000-0000-0000D5010000}"/>
    <cellStyle name="脱浦 [0.00]_Sheet1" xfId="438" xr:uid="{00000000-0005-0000-0000-0000D6010000}"/>
    <cellStyle name="脱浦_Sheet1" xfId="439" xr:uid="{00000000-0005-0000-0000-0000D7010000}"/>
    <cellStyle name="計算方式" xfId="440" xr:uid="{00000000-0005-0000-0000-0000D8010000}"/>
    <cellStyle name="說明文字" xfId="441" xr:uid="{00000000-0005-0000-0000-0000D9010000}"/>
    <cellStyle name="警告文字" xfId="442" xr:uid="{00000000-0005-0000-0000-0000DA010000}"/>
    <cellStyle name="貨幣[0]_laroux" xfId="443" xr:uid="{00000000-0005-0000-0000-0000DB010000}"/>
    <cellStyle name="貨幣_Manucomparison" xfId="444" xr:uid="{00000000-0005-0000-0000-0000DC010000}"/>
    <cellStyle name="輔色1" xfId="445" xr:uid="{00000000-0005-0000-0000-0000DD010000}"/>
    <cellStyle name="輔色2" xfId="446" xr:uid="{00000000-0005-0000-0000-0000DE010000}"/>
    <cellStyle name="輔色3" xfId="447" xr:uid="{00000000-0005-0000-0000-0000DF010000}"/>
    <cellStyle name="輔色4" xfId="448" xr:uid="{00000000-0005-0000-0000-0000E0010000}"/>
    <cellStyle name="輔色5" xfId="449" xr:uid="{00000000-0005-0000-0000-0000E1010000}"/>
    <cellStyle name="輔色6" xfId="450" xr:uid="{00000000-0005-0000-0000-0000E2010000}"/>
    <cellStyle name="輸入" xfId="451" xr:uid="{00000000-0005-0000-0000-0000E3010000}"/>
    <cellStyle name="輸出" xfId="452" xr:uid="{00000000-0005-0000-0000-0000E4010000}"/>
    <cellStyle name="連結的儲存格" xfId="453" xr:uid="{00000000-0005-0000-0000-0000E5010000}"/>
  </cellStyles>
  <dxfs count="21"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5" tint="0.79998168889431442"/>
      </font>
      <fill>
        <patternFill>
          <bgColor rgb="FFC00000"/>
        </patternFill>
      </fill>
    </dxf>
    <dxf>
      <font>
        <color theme="5" tint="0.79998168889431442"/>
      </font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000000"/>
      <color rgb="FFFF6600"/>
      <color rgb="FFFFCCCC"/>
      <color rgb="FFFFFFCC"/>
      <color rgb="FF0000FF"/>
      <color rgb="FFFFEBEB"/>
      <color rgb="FFCCFF33"/>
      <color rgb="FFC0504D"/>
      <color rgb="FF6C2826"/>
      <color rgb="FFF9FE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MY" sz="1400" b="1">
                <a:solidFill>
                  <a:sysClr val="windowText" lastClr="000000"/>
                </a:solidFill>
              </a:rPr>
              <a:t>RBC2 Components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CAR!$AU$47</c:f>
              <c:strCache>
                <c:ptCount val="1"/>
                <c:pt idx="0">
                  <c:v>R1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B6-40FA-96AB-45D8E871E63D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AB6-40FA-96AB-45D8E871E63D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AB6-40FA-96AB-45D8E871E63D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AB6-40FA-96AB-45D8E871E63D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AB6-40FA-96AB-45D8E871E63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52B3-4339-9E10-CA9769576DAC}"/>
              </c:ext>
            </c:extLst>
          </c:dPt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CAR!$AV$47:$BB$47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B6-40FA-96AB-45D8E871E63D}"/>
            </c:ext>
          </c:extLst>
        </c:ser>
        <c:ser>
          <c:idx val="3"/>
          <c:order val="1"/>
          <c:tx>
            <c:strRef>
              <c:f>CAR!$AU$48</c:f>
              <c:strCache>
                <c:ptCount val="1"/>
                <c:pt idx="0">
                  <c:v>R2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AB6-40FA-96AB-45D8E871E63D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3AB6-40FA-96AB-45D8E871E63D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3AB6-40FA-96AB-45D8E871E63D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3AB6-40FA-96AB-45D8E871E63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52B3-4339-9E10-CA9769576DAC}"/>
              </c:ext>
            </c:extLst>
          </c:dPt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CAR!$AV$48:$BB$48</c:f>
              <c:numCache>
                <c:formatCode>#,##0</c:formatCode>
                <c:ptCount val="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AB6-40FA-96AB-45D8E871E63D}"/>
            </c:ext>
          </c:extLst>
        </c:ser>
        <c:ser>
          <c:idx val="2"/>
          <c:order val="2"/>
          <c:tx>
            <c:strRef>
              <c:f>CAR!$AU$49</c:f>
              <c:strCache>
                <c:ptCount val="1"/>
                <c:pt idx="0">
                  <c:v>R3 Equities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AB6-40FA-96AB-45D8E871E63D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AB6-40FA-96AB-45D8E871E63D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AB6-40FA-96AB-45D8E871E63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52B3-4339-9E10-CA9769576DAC}"/>
              </c:ext>
            </c:extLst>
          </c:dPt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CAR!$AV$49:$BB$49</c:f>
              <c:numCache>
                <c:formatCode>General</c:formatCode>
                <c:ptCount val="7"/>
                <c:pt idx="2" formatCode="#,##0">
                  <c:v>0</c:v>
                </c:pt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AB6-40FA-96AB-45D8E871E63D}"/>
            </c:ext>
          </c:extLst>
        </c:ser>
        <c:ser>
          <c:idx val="7"/>
          <c:order val="3"/>
          <c:tx>
            <c:strRef>
              <c:f>CAR!$AU$50</c:f>
              <c:strCache>
                <c:ptCount val="1"/>
                <c:pt idx="0">
                  <c:v>R3 Others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52B3-4339-9E10-CA9769576DAC}"/>
              </c:ext>
            </c:extLst>
          </c:dPt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52B3-4339-9E10-CA9769576DAC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52B3-4339-9E10-CA9769576DAC}"/>
              </c:ext>
            </c:extLst>
          </c:dPt>
          <c:val>
            <c:numRef>
              <c:f>CAR!$AV$50:$BA$50</c:f>
              <c:numCache>
                <c:formatCode>General</c:formatCode>
                <c:ptCount val="6"/>
                <c:pt idx="3" formatCode="#,##0">
                  <c:v>0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52B3-4339-9E10-CA9769576DAC}"/>
            </c:ext>
          </c:extLst>
        </c:ser>
        <c:ser>
          <c:idx val="1"/>
          <c:order val="4"/>
          <c:tx>
            <c:strRef>
              <c:f>CAR!$AU$51</c:f>
              <c:strCache>
                <c:ptCount val="1"/>
                <c:pt idx="0">
                  <c:v>R4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3AB6-40FA-96AB-45D8E871E63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3AB6-40FA-96AB-45D8E871E63D}"/>
              </c:ext>
            </c:extLst>
          </c:dPt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52B3-4339-9E10-CA9769576DAC}"/>
              </c:ext>
            </c:extLst>
          </c:dPt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CAR!$AV$51:$BB$51</c:f>
              <c:numCache>
                <c:formatCode>General</c:formatCode>
                <c:ptCount val="7"/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3AB6-40FA-96AB-45D8E871E63D}"/>
            </c:ext>
          </c:extLst>
        </c:ser>
        <c:ser>
          <c:idx val="0"/>
          <c:order val="5"/>
          <c:tx>
            <c:strRef>
              <c:f>CAR!$AU$52</c:f>
              <c:strCache>
                <c:ptCount val="1"/>
                <c:pt idx="0">
                  <c:v>R5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3AB6-40FA-96AB-45D8E871E63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3AB6-40FA-96AB-45D8E871E63D}"/>
              </c:ext>
            </c:extLst>
          </c:dPt>
          <c:dPt>
            <c:idx val="6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52B3-4339-9E10-CA9769576DAC}"/>
              </c:ext>
            </c:extLst>
          </c:dPt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CAR!$AV$52:$BB$52</c:f>
              <c:numCache>
                <c:formatCode>General</c:formatCode>
                <c:ptCount val="7"/>
                <c:pt idx="5" formatCode="#,##0">
                  <c:v>0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3AB6-40FA-96AB-45D8E871E63D}"/>
            </c:ext>
          </c:extLst>
        </c:ser>
        <c:ser>
          <c:idx val="5"/>
          <c:order val="6"/>
          <c:tx>
            <c:strRef>
              <c:f>CAR!$AU$53</c:f>
              <c:strCache>
                <c:ptCount val="1"/>
                <c:pt idx="0">
                  <c:v>Div benefit</c:v>
                </c:pt>
              </c:strCache>
            </c:strRef>
          </c:tx>
          <c:spPr>
            <a:solidFill>
              <a:sysClr val="window" lastClr="FFFFFF"/>
            </a:solidFill>
            <a:ln>
              <a:solidFill>
                <a:srgbClr val="FF0000"/>
              </a:solidFill>
              <a:prstDash val="dash"/>
            </a:ln>
            <a:effectLst/>
          </c:spPr>
          <c:invertIfNegative val="0"/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CAR!$AV$53:$BB$53</c:f>
              <c:numCache>
                <c:formatCode>General</c:formatCode>
                <c:ptCount val="7"/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3AB6-40FA-96AB-45D8E871E63D}"/>
            </c:ext>
          </c:extLst>
        </c:ser>
        <c:ser>
          <c:idx val="6"/>
          <c:order val="7"/>
          <c:tx>
            <c:strRef>
              <c:f>CAR!$AU$54</c:f>
              <c:strCache>
                <c:ptCount val="1"/>
                <c:pt idx="0">
                  <c:v>Total Capital Required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CAR!$AU$47:$AU$54</c:f>
              <c:strCache>
                <c:ptCount val="8"/>
                <c:pt idx="0">
                  <c:v>R1</c:v>
                </c:pt>
                <c:pt idx="1">
                  <c:v>R2</c:v>
                </c:pt>
                <c:pt idx="2">
                  <c:v>R3 Equities</c:v>
                </c:pt>
                <c:pt idx="3">
                  <c:v>R3 Others</c:v>
                </c:pt>
                <c:pt idx="4">
                  <c:v>R4</c:v>
                </c:pt>
                <c:pt idx="5">
                  <c:v>R5</c:v>
                </c:pt>
                <c:pt idx="6">
                  <c:v>Div benefit</c:v>
                </c:pt>
                <c:pt idx="7">
                  <c:v>Total Capital Required</c:v>
                </c:pt>
              </c:strCache>
            </c:strRef>
          </c:cat>
          <c:val>
            <c:numRef>
              <c:f>CAR!$AV$54:$BC$54</c:f>
              <c:numCache>
                <c:formatCode>General</c:formatCode>
                <c:ptCount val="8"/>
                <c:pt idx="7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3AB6-40FA-96AB-45D8E871E6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-891187296"/>
        <c:axId val="-891186208"/>
      </c:barChart>
      <c:catAx>
        <c:axId val="-89118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1186208"/>
        <c:crosses val="autoZero"/>
        <c:auto val="1"/>
        <c:lblAlgn val="ctr"/>
        <c:lblOffset val="100"/>
        <c:noMultiLvlLbl val="0"/>
      </c:catAx>
      <c:valAx>
        <c:axId val="-89118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 sz="1000" b="1" i="0" kern="1200" baseline="0">
                    <a:solidFill>
                      <a:srgbClr val="000000"/>
                    </a:solidFill>
                    <a:effectLst/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Amount (PHP mil)</a:t>
                </a:r>
                <a:endParaRPr lang="en-MY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1187296"/>
        <c:crosses val="autoZero"/>
        <c:crossBetween val="between"/>
        <c:dispUnits>
          <c:builtInUnit val="million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MY"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MY" sz="1400" b="1"/>
              <a:t>RBC Requirement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MY"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230899441800808E-2"/>
          <c:y val="0.14700340119960784"/>
          <c:w val="0.88374265828902132"/>
          <c:h val="0.6631621666672133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CAR!$C$22</c:f>
              <c:strCache>
                <c:ptCount val="1"/>
                <c:pt idx="0">
                  <c:v>Credit Risk Capital Charge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CAR!$E$22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E-466D-90C5-910AEF55C833}"/>
            </c:ext>
          </c:extLst>
        </c:ser>
        <c:ser>
          <c:idx val="1"/>
          <c:order val="1"/>
          <c:tx>
            <c:strRef>
              <c:f>CAR!$C$23</c:f>
              <c:strCache>
                <c:ptCount val="1"/>
                <c:pt idx="0">
                  <c:v>Insurance Liability Risk Capital Charge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CAR!$E$23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E-466D-90C5-910AEF55C833}"/>
            </c:ext>
          </c:extLst>
        </c:ser>
        <c:ser>
          <c:idx val="2"/>
          <c:order val="2"/>
          <c:tx>
            <c:strRef>
              <c:f>CAR!$C$24</c:f>
              <c:strCache>
                <c:ptCount val="1"/>
                <c:pt idx="0">
                  <c:v>Market Risk Capital Charge - Equities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CAR!$E$24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8E-466D-90C5-910AEF55C833}"/>
            </c:ext>
          </c:extLst>
        </c:ser>
        <c:ser>
          <c:idx val="5"/>
          <c:order val="3"/>
          <c:tx>
            <c:strRef>
              <c:f>CAR!$C$25</c:f>
              <c:strCache>
                <c:ptCount val="1"/>
                <c:pt idx="0">
                  <c:v>Market Risk Capital Charge - Others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CAR!$E$25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B-48CE-9A70-F6F96C9694CC}"/>
            </c:ext>
          </c:extLst>
        </c:ser>
        <c:ser>
          <c:idx val="3"/>
          <c:order val="4"/>
          <c:tx>
            <c:strRef>
              <c:f>CAR!$C$26</c:f>
              <c:strCache>
                <c:ptCount val="1"/>
                <c:pt idx="0">
                  <c:v>Operational Risk Capital Charge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CAR!$E$26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8E-466D-90C5-910AEF55C833}"/>
            </c:ext>
          </c:extLst>
        </c:ser>
        <c:ser>
          <c:idx val="4"/>
          <c:order val="5"/>
          <c:tx>
            <c:strRef>
              <c:f>CAR!$C$27</c:f>
              <c:strCache>
                <c:ptCount val="1"/>
                <c:pt idx="0">
                  <c:v>Catastrophe Risk Capital Charge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cat>
          <c:val>
            <c:numRef>
              <c:f>CAR!$E$27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8E-466D-90C5-910AEF55C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891183488"/>
        <c:axId val="-891182944"/>
      </c:barChart>
      <c:catAx>
        <c:axId val="-89118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891182944"/>
        <c:crosses val="autoZero"/>
        <c:auto val="1"/>
        <c:lblAlgn val="ctr"/>
        <c:lblOffset val="100"/>
        <c:noMultiLvlLbl val="0"/>
      </c:catAx>
      <c:valAx>
        <c:axId val="-89118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MY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118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8595745431617967E-2"/>
          <c:y val="0.85080270623179377"/>
          <c:w val="0.95719919412878818"/>
          <c:h val="0.149197192483843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MY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 lang="en-MY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MY" sz="1400"/>
              <a:t>Capital Adequacy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4010067114094"/>
          <c:y val="0.12462885323614492"/>
          <c:w val="0.76386148396718867"/>
          <c:h val="0.70997146673493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CAR!$B$16</c:f>
              <c:strCache>
                <c:ptCount val="1"/>
                <c:pt idx="0">
                  <c:v>Total Available Capital (TAC)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CAR!$B$12</c:f>
              <c:strCache>
                <c:ptCount val="1"/>
                <c:pt idx="0">
                  <c:v>RBC2 framework</c:v>
                </c:pt>
              </c:strCache>
            </c:strRef>
          </c:cat>
          <c:val>
            <c:numRef>
              <c:f>CAR!$E$16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34-4EC1-8443-4B8950807AD7}"/>
            </c:ext>
          </c:extLst>
        </c:ser>
        <c:ser>
          <c:idx val="1"/>
          <c:order val="1"/>
          <c:tx>
            <c:strRef>
              <c:f>CAR!$B$21</c:f>
              <c:strCache>
                <c:ptCount val="1"/>
                <c:pt idx="0">
                  <c:v>RBC Requirement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CAR!$B$12</c:f>
              <c:strCache>
                <c:ptCount val="1"/>
                <c:pt idx="0">
                  <c:v>RBC2 framework</c:v>
                </c:pt>
              </c:strCache>
            </c:strRef>
          </c:cat>
          <c:val>
            <c:numRef>
              <c:f>CAR!$E$21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34-4EC1-8443-4B8950807A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-891181856"/>
        <c:axId val="-891185664"/>
      </c:barChart>
      <c:lineChart>
        <c:grouping val="standard"/>
        <c:varyColors val="0"/>
        <c:ser>
          <c:idx val="2"/>
          <c:order val="2"/>
          <c:tx>
            <c:strRef>
              <c:f>CAR!$B$29</c:f>
              <c:strCache>
                <c:ptCount val="1"/>
                <c:pt idx="0">
                  <c:v>Capital Adequacy Ratio (CAR)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triangle"/>
            <c:size val="10"/>
            <c:spPr>
              <a:solidFill>
                <a:srgbClr val="C00000"/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CAR!$B$12</c:f>
              <c:strCache>
                <c:ptCount val="1"/>
                <c:pt idx="0">
                  <c:v>RBC2 framework</c:v>
                </c:pt>
              </c:strCache>
            </c:strRef>
          </c:cat>
          <c:val>
            <c:numRef>
              <c:f>CAR!$E$29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34-4EC1-8443-4B8950807AD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891179136"/>
        <c:axId val="-891175328"/>
      </c:lineChart>
      <c:catAx>
        <c:axId val="-89118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891185664"/>
        <c:crosses val="autoZero"/>
        <c:auto val="1"/>
        <c:lblAlgn val="ctr"/>
        <c:lblOffset val="100"/>
        <c:noMultiLvlLbl val="1"/>
      </c:catAx>
      <c:valAx>
        <c:axId val="-8911856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MY" sz="1100"/>
                  <a:t>Amount (PHP mil)</a:t>
                </a:r>
              </a:p>
            </c:rich>
          </c:tx>
          <c:layout>
            <c:manualLayout>
              <c:xMode val="edge"/>
              <c:yMode val="edge"/>
              <c:x val="4.1892244593586892E-3"/>
              <c:y val="0.365468213058419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891181856"/>
        <c:crosses val="autoZero"/>
        <c:crossBetween val="between"/>
        <c:dispUnits>
          <c:builtInUnit val="millions"/>
        </c:dispUnits>
      </c:valAx>
      <c:catAx>
        <c:axId val="-891179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891175328"/>
        <c:crosses val="autoZero"/>
        <c:auto val="0"/>
        <c:lblAlgn val="ctr"/>
        <c:lblOffset val="100"/>
        <c:noMultiLvlLbl val="0"/>
      </c:catAx>
      <c:valAx>
        <c:axId val="-89117532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MY" sz="1100"/>
                  <a:t>CAR</a:t>
                </a:r>
              </a:p>
            </c:rich>
          </c:tx>
          <c:layout>
            <c:manualLayout>
              <c:xMode val="edge"/>
              <c:yMode val="edge"/>
              <c:x val="0.96056935767934859"/>
              <c:y val="0.433083776188753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891179136"/>
        <c:crosses val="max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576532971677224"/>
          <c:w val="1"/>
          <c:h val="0.101308720092004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MY" b="1">
                <a:solidFill>
                  <a:sysClr val="windowText" lastClr="000000"/>
                </a:solidFill>
              </a:rPr>
              <a:t>Components of Credit Risk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1"/>
          <c:tx>
            <c:strRef>
              <c:f>'RBC Requirement'!$D$17</c:f>
              <c:strCache>
                <c:ptCount val="1"/>
                <c:pt idx="0">
                  <c:v>Debt Instruments &amp; Bonds</c:v>
                </c:pt>
              </c:strCache>
            </c:strRef>
          </c:tx>
          <c:spPr>
            <a:solidFill>
              <a:schemeClr val="accent6">
                <a:shade val="7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R1</c:v>
                </c:pt>
              </c:strCache>
            </c:strRef>
          </c:cat>
          <c:val>
            <c:numRef>
              <c:f>'RBC Requirement'!$F$17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A19-475D-B9C8-251D959667C8}"/>
            </c:ext>
          </c:extLst>
        </c:ser>
        <c:ser>
          <c:idx val="2"/>
          <c:order val="2"/>
          <c:tx>
            <c:strRef>
              <c:f>'RBC Requirement'!$D$18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shade val="9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R1</c:v>
                </c:pt>
              </c:strCache>
            </c:strRef>
          </c:cat>
          <c:val>
            <c:numRef>
              <c:f>'RBC Requirement'!$F$18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A19-475D-B9C8-251D959667C8}"/>
            </c:ext>
          </c:extLst>
        </c:ser>
        <c:ser>
          <c:idx val="4"/>
          <c:order val="4"/>
          <c:tx>
            <c:strRef>
              <c:f>'RBC Requirement'!$D$20</c:f>
              <c:strCache>
                <c:ptCount val="1"/>
                <c:pt idx="0">
                  <c:v>Amounts Receivables</c:v>
                </c:pt>
              </c:strCache>
            </c:strRef>
          </c:tx>
          <c:spPr>
            <a:solidFill>
              <a:schemeClr val="accent6">
                <a:tint val="7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R1</c:v>
                </c:pt>
              </c:strCache>
            </c:strRef>
          </c:cat>
          <c:val>
            <c:numRef>
              <c:f>'RBC Requirement'!$F$20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A19-475D-B9C8-251D959667C8}"/>
            </c:ext>
          </c:extLst>
        </c:ser>
        <c:ser>
          <c:idx val="5"/>
          <c:order val="5"/>
          <c:tx>
            <c:strRef>
              <c:f>'RBC Requirement'!$D$21</c:f>
              <c:strCache>
                <c:ptCount val="1"/>
                <c:pt idx="0">
                  <c:v>Reinsurance</c:v>
                </c:pt>
              </c:strCache>
            </c:strRef>
          </c:tx>
          <c:spPr>
            <a:solidFill>
              <a:schemeClr val="accent6">
                <a:tint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Requirement'!$C$15</c:f>
              <c:strCache>
                <c:ptCount val="1"/>
                <c:pt idx="0">
                  <c:v>R1</c:v>
                </c:pt>
              </c:strCache>
            </c:strRef>
          </c:cat>
          <c:val>
            <c:numRef>
              <c:f>'RBC Requirement'!$F$21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A19-475D-B9C8-251D95966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891178048"/>
        <c:axId val="-8911764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'RBC Requirement'!$D$16</c15:sqref>
                        </c15:formulaRef>
                      </c:ext>
                    </c:extLst>
                    <c:strCache>
                      <c:ptCount val="1"/>
                      <c:pt idx="0">
                        <c:v>Asset Default Risk</c:v>
                      </c:pt>
                    </c:strCache>
                  </c:strRef>
                </c:tx>
                <c:spPr>
                  <a:solidFill>
                    <a:schemeClr val="accent6">
                      <a:shade val="5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'RBC Requirement'!$C$15</c15:sqref>
                        </c15:formulaRef>
                      </c:ext>
                    </c:extLst>
                    <c:strCache>
                      <c:ptCount val="1"/>
                      <c:pt idx="0">
                        <c:v>R1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'RBC Requirement'!$F$16</c15:sqref>
                        </c15:formulaRef>
                      </c:ext>
                    </c:extLst>
                    <c:numCache>
                      <c:formatCode>_(* #,##0.00_);_(* \(#,##0.00\);_(* "-"??_);_(@_)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A19-475D-B9C8-251D959667C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'RBC Requirement'!$D$19</c15:sqref>
                        </c15:formulaRef>
                      </c:ext>
                    </c:extLst>
                    <c:strCache>
                      <c:ptCount val="1"/>
                      <c:pt idx="0">
                        <c:v>Counterparty Risk</c:v>
                      </c:pt>
                    </c:strCache>
                  </c:strRef>
                </c:tx>
                <c:spPr>
                  <a:solidFill>
                    <a:schemeClr val="accent6">
                      <a:tint val="9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'RBC Requirement'!$C$15</c15:sqref>
                        </c15:formulaRef>
                      </c:ext>
                    </c:extLst>
                    <c:strCache>
                      <c:ptCount val="1"/>
                      <c:pt idx="0">
                        <c:v>R1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'RBC Requirement'!$F$19</c15:sqref>
                        </c15:formulaRef>
                      </c:ext>
                    </c:extLst>
                    <c:numCache>
                      <c:formatCode>0%</c:formatCode>
                      <c:ptCount val="1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AA19-475D-B9C8-251D959667C8}"/>
                  </c:ext>
                </c:extLst>
              </c15:ser>
            </c15:filteredBarSeries>
          </c:ext>
        </c:extLst>
      </c:barChart>
      <c:catAx>
        <c:axId val="-8911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1176416"/>
        <c:crosses val="autoZero"/>
        <c:auto val="1"/>
        <c:lblAlgn val="ctr"/>
        <c:lblOffset val="100"/>
        <c:noMultiLvlLbl val="0"/>
      </c:catAx>
      <c:valAx>
        <c:axId val="-8911764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891178048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MY" b="1">
                <a:solidFill>
                  <a:sysClr val="windowText" lastClr="000000"/>
                </a:solidFill>
              </a:rPr>
              <a:t>Components</a:t>
            </a:r>
            <a:r>
              <a:rPr lang="en-MY" b="1" baseline="0">
                <a:solidFill>
                  <a:sysClr val="windowText" lastClr="000000"/>
                </a:solidFill>
              </a:rPr>
              <a:t> of Market Risk</a:t>
            </a:r>
            <a:endParaRPr lang="en-MY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'RBC Requirement'!$D$28</c:f>
              <c:strCache>
                <c:ptCount val="1"/>
                <c:pt idx="0">
                  <c:v>Interest rate risk</c:v>
                </c:pt>
              </c:strCache>
            </c:strRef>
          </c:tx>
          <c:spPr>
            <a:solidFill>
              <a:schemeClr val="accent6">
                <a:shade val="53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Requirement'!$C$27</c:f>
              <c:strCache>
                <c:ptCount val="1"/>
                <c:pt idx="0">
                  <c:v>R3</c:v>
                </c:pt>
              </c:strCache>
            </c:strRef>
          </c:cat>
          <c:val>
            <c:numRef>
              <c:f>'RBC Requirement'!$F$28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6B-4CCD-87B3-1EF0FA9EA077}"/>
            </c:ext>
          </c:extLst>
        </c:ser>
        <c:ser>
          <c:idx val="1"/>
          <c:order val="1"/>
          <c:tx>
            <c:strRef>
              <c:f>'RBC Requirement'!$D$29</c:f>
              <c:strCache>
                <c:ptCount val="1"/>
                <c:pt idx="0">
                  <c:v>Equity risk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Requirement'!$C$27</c:f>
              <c:strCache>
                <c:ptCount val="1"/>
                <c:pt idx="0">
                  <c:v>R3</c:v>
                </c:pt>
              </c:strCache>
            </c:strRef>
          </c:cat>
          <c:val>
            <c:numRef>
              <c:f>'RBC Requirement'!$F$29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6B-4CCD-87B3-1EF0FA9EA077}"/>
            </c:ext>
          </c:extLst>
        </c:ser>
        <c:ser>
          <c:idx val="2"/>
          <c:order val="2"/>
          <c:tx>
            <c:strRef>
              <c:f>'RBC Requirement'!$D$30</c:f>
              <c:strCache>
                <c:ptCount val="1"/>
                <c:pt idx="0">
                  <c:v>Property risk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Requirement'!$C$27</c:f>
              <c:strCache>
                <c:ptCount val="1"/>
                <c:pt idx="0">
                  <c:v>R3</c:v>
                </c:pt>
              </c:strCache>
            </c:strRef>
          </c:cat>
          <c:val>
            <c:numRef>
              <c:f>'RBC Requirement'!$F$30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6B-4CCD-87B3-1EF0FA9EA077}"/>
            </c:ext>
          </c:extLst>
        </c:ser>
        <c:ser>
          <c:idx val="3"/>
          <c:order val="3"/>
          <c:tx>
            <c:strRef>
              <c:f>'RBC Requirement'!$D$31</c:f>
              <c:strCache>
                <c:ptCount val="1"/>
                <c:pt idx="0">
                  <c:v>Currency risk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Requirement'!$C$27</c:f>
              <c:strCache>
                <c:ptCount val="1"/>
                <c:pt idx="0">
                  <c:v>R3</c:v>
                </c:pt>
              </c:strCache>
            </c:strRef>
          </c:cat>
          <c:val>
            <c:numRef>
              <c:f>'RBC Requirement'!$F$31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56B-4CCD-87B3-1EF0FA9EA077}"/>
            </c:ext>
          </c:extLst>
        </c:ser>
        <c:ser>
          <c:idx val="4"/>
          <c:order val="4"/>
          <c:tx>
            <c:strRef>
              <c:f>'RBC Requirement'!$D$32</c:f>
              <c:strCache>
                <c:ptCount val="1"/>
                <c:pt idx="0">
                  <c:v>Credit spread risk</c:v>
                </c:pt>
              </c:strCache>
            </c:strRef>
          </c:tx>
          <c:spPr>
            <a:solidFill>
              <a:schemeClr val="accent6">
                <a:tint val="54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Requirement'!$C$27</c:f>
              <c:strCache>
                <c:ptCount val="1"/>
                <c:pt idx="0">
                  <c:v>R3</c:v>
                </c:pt>
              </c:strCache>
            </c:strRef>
          </c:cat>
          <c:val>
            <c:numRef>
              <c:f>'RBC Requirement'!$F$32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6B-4CCD-87B3-1EF0FA9EA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671771376"/>
        <c:axId val="-671772464"/>
      </c:barChart>
      <c:catAx>
        <c:axId val="-67177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1772464"/>
        <c:crosses val="autoZero"/>
        <c:auto val="1"/>
        <c:lblAlgn val="ctr"/>
        <c:lblOffset val="100"/>
        <c:noMultiLvlLbl val="0"/>
      </c:catAx>
      <c:valAx>
        <c:axId val="-67177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177137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MY" b="1">
                <a:solidFill>
                  <a:sysClr val="windowText" lastClr="000000"/>
                </a:solidFill>
              </a:rPr>
              <a:t>Components</a:t>
            </a:r>
            <a:r>
              <a:rPr lang="en-MY" b="1" baseline="0">
                <a:solidFill>
                  <a:sysClr val="windowText" lastClr="000000"/>
                </a:solidFill>
              </a:rPr>
              <a:t> of Insurance Liability Risk</a:t>
            </a:r>
            <a:endParaRPr lang="en-MY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'RBC Requirement'!$D$25</c:f>
              <c:strCache>
                <c:ptCount val="1"/>
                <c:pt idx="0">
                  <c:v>Premium Liability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Requirement'!$C$23</c:f>
              <c:strCache>
                <c:ptCount val="1"/>
                <c:pt idx="0">
                  <c:v>R2</c:v>
                </c:pt>
              </c:strCache>
            </c:strRef>
          </c:cat>
          <c:val>
            <c:numRef>
              <c:f>'RBC Requirement'!$F$25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8-4DFD-A882-2D3510BF48B1}"/>
            </c:ext>
          </c:extLst>
        </c:ser>
        <c:ser>
          <c:idx val="2"/>
          <c:order val="1"/>
          <c:tx>
            <c:strRef>
              <c:f>'RBC Requirement'!$D$24</c:f>
              <c:strCache>
                <c:ptCount val="1"/>
                <c:pt idx="0">
                  <c:v>Claim Liability</c:v>
                </c:pt>
              </c:strCache>
            </c:strRef>
          </c:tx>
          <c:spPr>
            <a:solidFill>
              <a:schemeClr val="accent6">
                <a:tint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'RBC Requirement'!$C$23</c:f>
              <c:strCache>
                <c:ptCount val="1"/>
                <c:pt idx="0">
                  <c:v>R2</c:v>
                </c:pt>
              </c:strCache>
            </c:strRef>
          </c:cat>
          <c:val>
            <c:numRef>
              <c:f>'RBC Requirement'!$F$24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8-4DFD-A882-2D3510BF4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-671776816"/>
        <c:axId val="-671775728"/>
      </c:barChart>
      <c:catAx>
        <c:axId val="-67177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1775728"/>
        <c:crosses val="autoZero"/>
        <c:auto val="1"/>
        <c:lblAlgn val="ctr"/>
        <c:lblOffset val="100"/>
        <c:noMultiLvlLbl val="0"/>
      </c:catAx>
      <c:valAx>
        <c:axId val="-67177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7177681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24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369094</xdr:colOff>
      <xdr:row>0</xdr:row>
      <xdr:rowOff>83344</xdr:rowOff>
    </xdr:from>
    <xdr:to>
      <xdr:col>5</xdr:col>
      <xdr:colOff>297656</xdr:colOff>
      <xdr:row>4</xdr:row>
      <xdr:rowOff>107156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264E5C08-0A14-83FF-0460-D326BEBEB04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8" y="83344"/>
          <a:ext cx="5357812" cy="82153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455083</xdr:colOff>
      <xdr:row>0</xdr:row>
      <xdr:rowOff>0</xdr:rowOff>
    </xdr:from>
    <xdr:to>
      <xdr:col>4</xdr:col>
      <xdr:colOff>849312</xdr:colOff>
      <xdr:row>4</xdr:row>
      <xdr:rowOff>27781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9FC9F375-41F2-49F2-BBAE-D6DFBA97B3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00" y="0"/>
          <a:ext cx="5357812" cy="82153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539750</xdr:colOff>
      <xdr:row>0</xdr:row>
      <xdr:rowOff>0</xdr:rowOff>
    </xdr:from>
    <xdr:to>
      <xdr:col>5</xdr:col>
      <xdr:colOff>436562</xdr:colOff>
      <xdr:row>4</xdr:row>
      <xdr:rowOff>27781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9F8728A2-2EBA-47E8-8999-E4C54DA1B7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667" y="0"/>
          <a:ext cx="5357812" cy="82153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6</xdr:col>
      <xdr:colOff>309562</xdr:colOff>
      <xdr:row>4</xdr:row>
      <xdr:rowOff>119062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EF6CF82B-2131-4858-B662-6228D0F751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5357812" cy="8215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84668</xdr:colOff>
      <xdr:row>0</xdr:row>
      <xdr:rowOff>10584</xdr:rowOff>
    </xdr:from>
    <xdr:to>
      <xdr:col>5</xdr:col>
      <xdr:colOff>775230</xdr:colOff>
      <xdr:row>4</xdr:row>
      <xdr:rowOff>38365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A9579FF6-DB84-4A43-B4F2-1BD6635CE7F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51" y="10584"/>
          <a:ext cx="5357812" cy="82153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11</xdr:row>
      <xdr:rowOff>0</xdr:rowOff>
    </xdr:from>
    <xdr:to>
      <xdr:col>11</xdr:col>
      <xdr:colOff>157292</xdr:colOff>
      <xdr:row>32</xdr:row>
      <xdr:rowOff>7352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33</xdr:row>
      <xdr:rowOff>0</xdr:rowOff>
    </xdr:from>
    <xdr:to>
      <xdr:col>11</xdr:col>
      <xdr:colOff>157488</xdr:colOff>
      <xdr:row>52</xdr:row>
      <xdr:rowOff>70737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12</xdr:col>
      <xdr:colOff>0</xdr:colOff>
      <xdr:row>11</xdr:row>
      <xdr:rowOff>0</xdr:rowOff>
    </xdr:from>
    <xdr:to>
      <xdr:col>19</xdr:col>
      <xdr:colOff>443742</xdr:colOff>
      <xdr:row>32</xdr:row>
      <xdr:rowOff>10309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23812</xdr:colOff>
      <xdr:row>0</xdr:row>
      <xdr:rowOff>47624</xdr:rowOff>
    </xdr:from>
    <xdr:to>
      <xdr:col>5</xdr:col>
      <xdr:colOff>71436</xdr:colOff>
      <xdr:row>4</xdr:row>
      <xdr:rowOff>71436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E5F8A9BF-186D-4CAB-8E18-D77A52BA9CE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" y="47624"/>
          <a:ext cx="5357812" cy="8215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11</xdr:row>
      <xdr:rowOff>0</xdr:rowOff>
    </xdr:from>
    <xdr:to>
      <xdr:col>10</xdr:col>
      <xdr:colOff>456408</xdr:colOff>
      <xdr:row>28</xdr:row>
      <xdr:rowOff>155363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</xdr:colOff>
      <xdr:row>28</xdr:row>
      <xdr:rowOff>178593</xdr:rowOff>
    </xdr:from>
    <xdr:to>
      <xdr:col>10</xdr:col>
      <xdr:colOff>458259</xdr:colOff>
      <xdr:row>46</xdr:row>
      <xdr:rowOff>132873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11</xdr:row>
      <xdr:rowOff>0</xdr:rowOff>
    </xdr:from>
    <xdr:to>
      <xdr:col>15</xdr:col>
      <xdr:colOff>902230</xdr:colOff>
      <xdr:row>28</xdr:row>
      <xdr:rowOff>155363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214312</xdr:colOff>
      <xdr:row>4</xdr:row>
      <xdr:rowOff>11906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C5B4F2BB-36D2-4C32-9536-E96B73E1676A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357812" cy="82153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126999</xdr:colOff>
      <xdr:row>0</xdr:row>
      <xdr:rowOff>52917</xdr:rowOff>
    </xdr:from>
    <xdr:to>
      <xdr:col>4</xdr:col>
      <xdr:colOff>309561</xdr:colOff>
      <xdr:row>4</xdr:row>
      <xdr:rowOff>80698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BF5429A3-99FB-4BC5-8B77-1C8914262F6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16" y="52917"/>
          <a:ext cx="5357812" cy="82153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493058</xdr:colOff>
      <xdr:row>0</xdr:row>
      <xdr:rowOff>0</xdr:rowOff>
    </xdr:from>
    <xdr:to>
      <xdr:col>6</xdr:col>
      <xdr:colOff>1021135</xdr:colOff>
      <xdr:row>4</xdr:row>
      <xdr:rowOff>25913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3564D17B-647D-40BC-98E6-7E28825025C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52" y="0"/>
          <a:ext cx="5357812" cy="8215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635000</xdr:colOff>
      <xdr:row>0</xdr:row>
      <xdr:rowOff>0</xdr:rowOff>
    </xdr:from>
    <xdr:to>
      <xdr:col>4</xdr:col>
      <xdr:colOff>754062</xdr:colOff>
      <xdr:row>4</xdr:row>
      <xdr:rowOff>27781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8C28BB25-2836-4978-9802-1F80E6F1111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4917" y="0"/>
          <a:ext cx="5357812" cy="82153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358587</xdr:colOff>
      <xdr:row>0</xdr:row>
      <xdr:rowOff>56030</xdr:rowOff>
    </xdr:from>
    <xdr:to>
      <xdr:col>7</xdr:col>
      <xdr:colOff>169487</xdr:colOff>
      <xdr:row>4</xdr:row>
      <xdr:rowOff>81943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D90B9179-FFCC-4610-8DD9-F24D2C852B8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881" y="56030"/>
          <a:ext cx="5357812" cy="82153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179916</xdr:colOff>
      <xdr:row>0</xdr:row>
      <xdr:rowOff>21166</xdr:rowOff>
    </xdr:from>
    <xdr:to>
      <xdr:col>4</xdr:col>
      <xdr:colOff>648228</xdr:colOff>
      <xdr:row>4</xdr:row>
      <xdr:rowOff>48947</xdr:rowOff>
    </xdr:to>
    <xdr:pic>
      <xdr:nvPicPr>
        <xdr:cNvPr id="2" name="Picture 1" descr="Shape&#10;&#10;Description automatically generated with medium confidence">
          <a:extLst>
            <a:ext uri="{FF2B5EF4-FFF2-40B4-BE49-F238E27FC236}">
              <a16:creationId xmlns:a16="http://schemas.microsoft.com/office/drawing/2014/main" id="{882C8E57-4642-4EF6-9704-980D8E3E3C5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833" y="21166"/>
          <a:ext cx="5357812" cy="8215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jg.dimpas/Desktop/mjg.dimpas/Documents/1%20NON-LIFE%20INSURANCE%20COMPANIES/2015/1%20PETROGEN%202015%20VF/wppetrogen2015VF.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.manicad/AppData/Local/Microsoft/Windows/Temporary%20Internet%20Files/Content.Outlook/81TWSPZ4/Copy%20of%20000%2020170317%20SEGURO%20template%20%20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s (2)"/>
      <sheetName val="Sheet1"/>
      <sheetName val="wTB"/>
      <sheetName val="wbs"/>
      <sheetName val="A"/>
      <sheetName val="S"/>
      <sheetName val="compliance"/>
      <sheetName val="N"/>
      <sheetName val="J"/>
      <sheetName val="rbc"/>
      <sheetName val="Sheet2"/>
      <sheetName val="bonds"/>
      <sheetName val="bonds-add on accrued int"/>
      <sheetName val="stocks"/>
      <sheetName val="cash"/>
      <sheetName val="premiums receivable"/>
      <sheetName val="reinsurance accounts"/>
      <sheetName val="RI suspended accounts"/>
      <sheetName val="accrued inv inc"/>
      <sheetName val="ctd"/>
      <sheetName val="edp equipment"/>
      <sheetName val="other assets"/>
      <sheetName val="losses &amp; claims payable"/>
      <sheetName val="IBNR"/>
      <sheetName val="RUP"/>
      <sheetName val="taxes payable"/>
      <sheetName val="pt payments"/>
      <sheetName val="dst payments"/>
      <sheetName val="dst bayad centr"/>
      <sheetName val="VAT payments"/>
      <sheetName val="fst payments"/>
      <sheetName val="other liabilities-AP"/>
      <sheetName val="$b"/>
      <sheetName val="bonds-accrued interest"/>
      <sheetName val="T"/>
      <sheetName val="ST"/>
      <sheetName val="sa"/>
      <sheetName val="OI"/>
      <sheetName val="RE"/>
      <sheetName val="ML"/>
      <sheetName val="OL"/>
      <sheetName val="C"/>
      <sheetName val="acq. cost of bonds"/>
      <sheetName val="CR"/>
      <sheetName val="M"/>
      <sheetName val="CI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>
        <row r="25">
          <cell r="G25">
            <v>8371064</v>
          </cell>
          <cell r="M25">
            <v>14518333.566199999</v>
          </cell>
        </row>
      </sheetData>
      <sheetData sheetId="4" refreshError="1">
        <row r="1">
          <cell r="B1" t="str">
            <v>PETROGEN INSURANCE CORPORATION</v>
          </cell>
        </row>
        <row r="5">
          <cell r="H5">
            <v>42369</v>
          </cell>
        </row>
        <row r="65">
          <cell r="C65">
            <v>6214</v>
          </cell>
        </row>
        <row r="66">
          <cell r="C66">
            <v>40214</v>
          </cell>
        </row>
        <row r="67">
          <cell r="C67">
            <v>-28868</v>
          </cell>
        </row>
        <row r="68">
          <cell r="C68">
            <v>2222718</v>
          </cell>
        </row>
        <row r="69">
          <cell r="C69">
            <v>0</v>
          </cell>
        </row>
        <row r="70">
          <cell r="C70">
            <v>535085</v>
          </cell>
        </row>
        <row r="71">
          <cell r="C71">
            <v>0</v>
          </cell>
        </row>
        <row r="72">
          <cell r="C72">
            <v>5595701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"/>
      <sheetName val="main"/>
      <sheetName val="sum"/>
      <sheetName val="S"/>
      <sheetName val="E"/>
      <sheetName val="G"/>
      <sheetName val="U"/>
      <sheetName val="R"/>
      <sheetName val="O"/>
      <sheetName val="121 122 data"/>
      <sheetName val="141 data"/>
      <sheetName val="123 142 data"/>
      <sheetName val="A"/>
      <sheetName val="wbs"/>
    </sheetNames>
    <sheetDataSet>
      <sheetData sheetId="0" refreshError="1"/>
      <sheetData sheetId="1">
        <row r="5">
          <cell r="E5" t="str">
            <v>ABC Company</v>
          </cell>
        </row>
        <row r="7">
          <cell r="E7">
            <v>42005</v>
          </cell>
        </row>
        <row r="23">
          <cell r="F23" t="b">
            <v>1</v>
          </cell>
        </row>
        <row r="24">
          <cell r="F24" t="b">
            <v>1</v>
          </cell>
        </row>
        <row r="25">
          <cell r="F25" t="b">
            <v>0</v>
          </cell>
        </row>
        <row r="30">
          <cell r="F30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>
    <tabColor rgb="FFC00000"/>
    <pageSetUpPr fitToPage="1"/>
  </sheetPr>
  <dimension ref="A1:N46"/>
  <sheetViews>
    <sheetView showGridLines="0" zoomScale="90" zoomScaleNormal="90" workbookViewId="0">
      <selection activeCell="F34" sqref="F34"/>
    </sheetView>
  </sheetViews>
  <sheetFormatPr defaultColWidth="9.140625" defaultRowHeight="15"/>
  <cols>
    <col min="1" max="1" width="2.7109375" customWidth="1"/>
    <col min="2" max="2" width="18.7109375" customWidth="1"/>
    <col min="3" max="3" width="30.5703125" customWidth="1"/>
    <col min="4" max="5" width="16" customWidth="1"/>
    <col min="6" max="6" width="30.5703125" customWidth="1"/>
    <col min="7" max="7" width="18.5703125" bestFit="1" customWidth="1"/>
    <col min="8" max="8" width="19.28515625" customWidth="1"/>
    <col min="9" max="14" width="13.85546875" customWidth="1"/>
    <col min="15" max="15" width="17.5703125" customWidth="1"/>
    <col min="16" max="18" width="10.85546875" customWidth="1"/>
    <col min="19" max="82" width="17.5703125" customWidth="1"/>
  </cols>
  <sheetData>
    <row r="1" spans="1:14">
      <c r="A1" s="10"/>
    </row>
    <row r="2" spans="1:14" ht="15.75">
      <c r="B2" s="50"/>
      <c r="C2" s="50"/>
      <c r="D2" s="50"/>
      <c r="E2" s="50"/>
      <c r="F2" s="50"/>
      <c r="I2" s="50"/>
      <c r="J2" s="50"/>
      <c r="K2" s="50"/>
      <c r="L2" s="50"/>
      <c r="M2" s="50"/>
      <c r="N2" s="50"/>
    </row>
    <row r="3" spans="1:14" ht="15.75">
      <c r="B3" s="50"/>
      <c r="C3" s="50"/>
      <c r="D3" s="50"/>
      <c r="E3" s="50"/>
      <c r="F3" s="50"/>
      <c r="G3" s="51" t="s">
        <v>154</v>
      </c>
      <c r="H3" s="52" t="s">
        <v>526</v>
      </c>
      <c r="I3" s="53"/>
      <c r="J3" s="50"/>
      <c r="K3" s="50"/>
      <c r="L3" s="50"/>
      <c r="M3" s="50"/>
      <c r="N3" s="50"/>
    </row>
    <row r="4" spans="1:14" ht="15.75">
      <c r="B4" s="50"/>
      <c r="C4" s="50"/>
      <c r="D4" s="50"/>
      <c r="E4" s="50"/>
      <c r="F4" s="50"/>
      <c r="G4" s="51" t="s">
        <v>157</v>
      </c>
      <c r="H4" s="54">
        <v>44669</v>
      </c>
      <c r="I4" s="50"/>
      <c r="J4" s="50"/>
      <c r="K4" s="50"/>
      <c r="L4" s="50"/>
      <c r="M4" s="50"/>
      <c r="N4" s="50"/>
    </row>
    <row r="5" spans="1:14" ht="26.25">
      <c r="B5" s="55" t="s">
        <v>362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 ht="15.75">
      <c r="B6" s="56" t="s">
        <v>477</v>
      </c>
      <c r="C6" s="57"/>
      <c r="F6" s="50"/>
    </row>
    <row r="7" spans="1:14" ht="15.75">
      <c r="B7" s="58" t="s">
        <v>131</v>
      </c>
      <c r="C7" s="57"/>
      <c r="F7" s="50"/>
    </row>
    <row r="9" spans="1:14">
      <c r="B9" s="59" t="s">
        <v>155</v>
      </c>
      <c r="C9" s="34"/>
      <c r="D9" s="35"/>
      <c r="E9" s="60" t="s">
        <v>318</v>
      </c>
    </row>
    <row r="10" spans="1:14">
      <c r="B10" s="59" t="s">
        <v>310</v>
      </c>
      <c r="C10" s="37"/>
      <c r="D10" s="35"/>
      <c r="E10" s="60" t="s">
        <v>355</v>
      </c>
    </row>
    <row r="11" spans="1:14">
      <c r="B11" s="59" t="s">
        <v>470</v>
      </c>
      <c r="C11" s="37"/>
      <c r="D11" s="35"/>
      <c r="E11" s="60" t="s">
        <v>471</v>
      </c>
    </row>
    <row r="12" spans="1:14" ht="15.75">
      <c r="B12" s="61"/>
      <c r="C12" s="62"/>
    </row>
    <row r="13" spans="1:14">
      <c r="B13" s="180" t="s">
        <v>461</v>
      </c>
    </row>
    <row r="14" spans="1:14">
      <c r="B14" s="59" t="s">
        <v>460</v>
      </c>
      <c r="E14" s="59" t="s">
        <v>458</v>
      </c>
    </row>
    <row r="15" spans="1:14">
      <c r="B15" s="573"/>
      <c r="C15" s="574"/>
      <c r="E15" s="573"/>
      <c r="F15" s="574"/>
    </row>
    <row r="16" spans="1:14">
      <c r="B16" s="575"/>
      <c r="C16" s="576"/>
      <c r="E16" s="575"/>
      <c r="F16" s="576"/>
    </row>
    <row r="17" spans="2:8">
      <c r="B17" s="575"/>
      <c r="C17" s="576"/>
      <c r="E17" s="575"/>
      <c r="F17" s="576"/>
    </row>
    <row r="18" spans="2:8" ht="15" customHeight="1">
      <c r="B18" s="577"/>
      <c r="C18" s="578"/>
      <c r="E18" s="577"/>
      <c r="F18" s="578"/>
    </row>
    <row r="19" spans="2:8" ht="15" customHeight="1">
      <c r="B19" s="59" t="s">
        <v>462</v>
      </c>
      <c r="C19" s="572"/>
      <c r="E19" s="59" t="s">
        <v>462</v>
      </c>
      <c r="F19" s="570"/>
    </row>
    <row r="20" spans="2:8">
      <c r="B20" s="59" t="s">
        <v>463</v>
      </c>
      <c r="C20" s="570"/>
      <c r="E20" s="59" t="s">
        <v>463</v>
      </c>
      <c r="F20" s="570" t="s">
        <v>459</v>
      </c>
    </row>
    <row r="21" spans="2:8">
      <c r="C21" s="221" t="str">
        <f>IF(C19="","CHECK","")</f>
        <v>CHECK</v>
      </c>
      <c r="F21" s="221" t="str">
        <f>IF(F19="","CHECK","")</f>
        <v>CHECK</v>
      </c>
    </row>
    <row r="22" spans="2:8">
      <c r="C22" s="571" t="str">
        <f>IF(C21="CHECK","Please provide name and signature","")</f>
        <v>Please provide name and signature</v>
      </c>
      <c r="F22" s="571" t="str">
        <f>IF(F21="CHECK","Please provide name and signature","")</f>
        <v>Please provide name and signature</v>
      </c>
    </row>
    <row r="24" spans="2:8">
      <c r="B24" s="180" t="s">
        <v>474</v>
      </c>
    </row>
    <row r="25" spans="2:8">
      <c r="B25" s="63"/>
      <c r="C25" s="63" t="s">
        <v>118</v>
      </c>
      <c r="D25" s="63" t="s">
        <v>75</v>
      </c>
      <c r="E25" s="64"/>
      <c r="F25" s="64"/>
      <c r="G25" s="64"/>
      <c r="H25" s="65"/>
    </row>
    <row r="26" spans="2:8">
      <c r="B26" s="66" t="s">
        <v>117</v>
      </c>
      <c r="C26" s="67" t="s">
        <v>349</v>
      </c>
      <c r="D26" s="68" t="s">
        <v>360</v>
      </c>
      <c r="E26" s="69"/>
      <c r="F26" s="69"/>
      <c r="G26" s="69"/>
      <c r="H26" s="70"/>
    </row>
    <row r="27" spans="2:8">
      <c r="B27" s="71"/>
      <c r="C27" s="72" t="s">
        <v>350</v>
      </c>
      <c r="D27" s="71" t="s">
        <v>361</v>
      </c>
      <c r="H27" s="73"/>
    </row>
    <row r="28" spans="2:8">
      <c r="B28" s="581" t="s">
        <v>451</v>
      </c>
      <c r="C28" s="582" t="s">
        <v>451</v>
      </c>
      <c r="D28" s="583" t="s">
        <v>452</v>
      </c>
      <c r="E28" s="584"/>
      <c r="F28" s="584"/>
      <c r="G28" s="584"/>
      <c r="H28" s="585"/>
    </row>
    <row r="29" spans="2:8">
      <c r="B29" s="74" t="s">
        <v>125</v>
      </c>
      <c r="C29" s="75" t="s">
        <v>119</v>
      </c>
      <c r="D29" s="69" t="s">
        <v>365</v>
      </c>
      <c r="E29" s="69"/>
      <c r="F29" s="69"/>
      <c r="G29" s="69"/>
      <c r="H29" s="70"/>
    </row>
    <row r="30" spans="2:8">
      <c r="B30" s="76" t="s">
        <v>152</v>
      </c>
      <c r="C30" s="77" t="s">
        <v>121</v>
      </c>
      <c r="D30" t="s">
        <v>126</v>
      </c>
      <c r="H30" s="73"/>
    </row>
    <row r="31" spans="2:8">
      <c r="B31" s="76" t="s">
        <v>153</v>
      </c>
      <c r="C31" s="77" t="s">
        <v>122</v>
      </c>
      <c r="D31" t="s">
        <v>127</v>
      </c>
      <c r="H31" s="73"/>
    </row>
    <row r="32" spans="2:8">
      <c r="B32" s="71"/>
      <c r="C32" s="77" t="s">
        <v>268</v>
      </c>
      <c r="D32" t="s">
        <v>128</v>
      </c>
      <c r="H32" s="73"/>
    </row>
    <row r="33" spans="1:9">
      <c r="B33" s="71"/>
      <c r="C33" s="77" t="s">
        <v>271</v>
      </c>
      <c r="D33" t="s">
        <v>272</v>
      </c>
      <c r="H33" s="73"/>
    </row>
    <row r="34" spans="1:9">
      <c r="B34" s="71"/>
      <c r="C34" s="77" t="s">
        <v>123</v>
      </c>
      <c r="D34" t="s">
        <v>321</v>
      </c>
      <c r="H34" s="73"/>
    </row>
    <row r="35" spans="1:9">
      <c r="B35" s="78"/>
      <c r="C35" s="79" t="s">
        <v>124</v>
      </c>
      <c r="D35" s="80" t="s">
        <v>322</v>
      </c>
      <c r="E35" s="81"/>
      <c r="F35" s="81"/>
      <c r="G35" s="81"/>
      <c r="H35" s="82"/>
    </row>
    <row r="36" spans="1:9">
      <c r="B36" s="580" t="s">
        <v>356</v>
      </c>
      <c r="C36" s="79" t="s">
        <v>377</v>
      </c>
      <c r="D36" s="80" t="s">
        <v>450</v>
      </c>
      <c r="E36" s="81"/>
      <c r="F36" s="81"/>
      <c r="G36" s="81"/>
      <c r="H36" s="82"/>
    </row>
    <row r="37" spans="1:9">
      <c r="I37" s="83"/>
    </row>
    <row r="38" spans="1:9">
      <c r="B38" s="180" t="s">
        <v>132</v>
      </c>
    </row>
    <row r="39" spans="1:9">
      <c r="A39" s="84"/>
      <c r="B39" t="s">
        <v>357</v>
      </c>
      <c r="C39" s="62"/>
      <c r="D39" s="85"/>
      <c r="E39" s="85"/>
      <c r="F39" s="85"/>
    </row>
    <row r="40" spans="1:9">
      <c r="A40" s="84"/>
      <c r="B40" t="s">
        <v>358</v>
      </c>
    </row>
    <row r="41" spans="1:9">
      <c r="B41" s="107" t="s">
        <v>509</v>
      </c>
    </row>
    <row r="42" spans="1:9">
      <c r="B42" s="86" t="s">
        <v>185</v>
      </c>
      <c r="C42" s="87" t="s">
        <v>186</v>
      </c>
      <c r="D42" s="88"/>
      <c r="E42" s="88"/>
      <c r="F42" s="88"/>
      <c r="G42" s="88"/>
      <c r="H42" s="89"/>
      <c r="I42" s="90"/>
    </row>
    <row r="43" spans="1:9">
      <c r="B43" s="91" t="s">
        <v>137</v>
      </c>
      <c r="C43" s="92" t="s">
        <v>120</v>
      </c>
      <c r="D43" s="93"/>
      <c r="E43" s="93"/>
      <c r="F43" s="93"/>
      <c r="G43" s="93"/>
      <c r="H43" s="94"/>
      <c r="I43" s="83"/>
    </row>
    <row r="44" spans="1:9">
      <c r="B44" s="95" t="s">
        <v>137</v>
      </c>
      <c r="C44" s="92" t="s">
        <v>133</v>
      </c>
      <c r="D44" s="93"/>
      <c r="E44" s="93"/>
      <c r="F44" s="93"/>
      <c r="G44" s="93"/>
      <c r="H44" s="94"/>
      <c r="I44" s="83"/>
    </row>
    <row r="45" spans="1:9">
      <c r="B45" s="96" t="s">
        <v>137</v>
      </c>
      <c r="C45" s="93" t="s">
        <v>187</v>
      </c>
      <c r="D45" s="93"/>
      <c r="E45" s="93"/>
      <c r="F45" s="93"/>
      <c r="G45" s="93"/>
      <c r="H45" s="94"/>
    </row>
    <row r="46" spans="1:9">
      <c r="B46" s="97"/>
      <c r="C46" s="98" t="s">
        <v>136</v>
      </c>
      <c r="D46" s="99"/>
      <c r="E46" s="99"/>
      <c r="F46" s="99"/>
      <c r="G46" s="99"/>
      <c r="H46" s="100"/>
    </row>
  </sheetData>
  <sheetProtection algorithmName="SHA-512" hashValue="s5zc7gDXFPeYPYyilo2I5D7Io+0NoR+MMAVNW5Rf3IqwtHpzM5rxxbqTe1oCH4y2U2/6Pj4pgvVKfD9YQd/VBQ==" saltValue="S22y9iLr9l78liW8Ya0v5w==" spinCount="100000" sheet="1" formatCells="0" formatColumns="0" insertHyperlinks="0" sort="0" autoFilter="0" pivotTables="0"/>
  <sortState xmlns:xlrd2="http://schemas.microsoft.com/office/spreadsheetml/2017/richdata2" ref="C40:D64">
    <sortCondition ref="C40:C64"/>
  </sortState>
  <conditionalFormatting sqref="C21">
    <cfRule type="cellIs" dxfId="20" priority="2" operator="equal">
      <formula>"CHECK"</formula>
    </cfRule>
  </conditionalFormatting>
  <conditionalFormatting sqref="F21">
    <cfRule type="cellIs" dxfId="19" priority="1" operator="equal">
      <formula>"CHECK"</formula>
    </cfRule>
  </conditionalFormatting>
  <hyperlinks>
    <hyperlink ref="C26" location="CAR!A1" display="CAR" xr:uid="{00000000-0004-0000-0000-000000000000}"/>
    <hyperlink ref="C27" location="'RBC Requirement'!A1" display="RBC Requirement" xr:uid="{00000000-0004-0000-0000-000001000000}"/>
    <hyperlink ref="C29" location="Input_Capital!A1" display="Input_Capital" xr:uid="{00000000-0004-0000-0000-000002000000}"/>
    <hyperlink ref="C30" location="Input_Asset!A1" display="Input_Asset" xr:uid="{00000000-0004-0000-0000-000003000000}"/>
    <hyperlink ref="C31" location="Input_Liability!A1" display="Input_Liability" xr:uid="{00000000-0004-0000-0000-000004000000}"/>
    <hyperlink ref="C32" location="Input_ALM!A1" display="Input_ALM" xr:uid="{00000000-0004-0000-0000-000005000000}"/>
    <hyperlink ref="C34" location="Input_Operational!A1" display="Input_Operational" xr:uid="{00000000-0004-0000-0000-000006000000}"/>
    <hyperlink ref="C35" location="Input_Catastrophe!A1" display="Input_Catastrophe" xr:uid="{00000000-0004-0000-0000-000007000000}"/>
    <hyperlink ref="C33" location="Input_Currency!A1" display="Input_Currency" xr:uid="{00000000-0004-0000-0000-000008000000}"/>
    <hyperlink ref="C36" location="Cover!A1" display="RC%_Receivables" xr:uid="{00000000-0004-0000-0000-000009000000}"/>
    <hyperlink ref="C28" location="Notes!A1" display="Notes" xr:uid="{00000000-0004-0000-0000-00000A000000}"/>
  </hyperlinks>
  <pageMargins left="0.7" right="0.7" top="0.75" bottom="0.75" header="0.3" footer="0.3"/>
  <pageSetup paperSize="9" scale="57" fitToHeight="0" orientation="portrait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8">
    <tabColor theme="5" tint="0.39997558519241921"/>
  </sheetPr>
  <dimension ref="A1:V134"/>
  <sheetViews>
    <sheetView showGridLines="0" zoomScale="90" zoomScaleNormal="90" workbookViewId="0">
      <selection activeCell="F34" sqref="F34"/>
    </sheetView>
  </sheetViews>
  <sheetFormatPr defaultColWidth="16.140625" defaultRowHeight="15"/>
  <cols>
    <col min="1" max="1" width="2.7109375" customWidth="1"/>
    <col min="2" max="2" width="9.5703125" customWidth="1"/>
    <col min="3" max="4" width="13.5703125" customWidth="1"/>
    <col min="5" max="6" width="12.140625" customWidth="1"/>
    <col min="7" max="10" width="22.140625" customWidth="1"/>
    <col min="11" max="11" width="2.7109375" customWidth="1"/>
    <col min="12" max="14" width="19.42578125" customWidth="1"/>
    <col min="15" max="15" width="21" customWidth="1"/>
    <col min="16" max="17" width="19.42578125" customWidth="1"/>
  </cols>
  <sheetData>
    <row r="1" spans="1:22">
      <c r="A1" s="10"/>
      <c r="F1" s="38"/>
      <c r="G1" s="38"/>
      <c r="H1" s="38"/>
      <c r="I1" s="38"/>
    </row>
    <row r="2" spans="1:22" ht="15.75">
      <c r="B2" s="337"/>
      <c r="C2" s="337"/>
      <c r="D2" s="337"/>
      <c r="E2" s="337"/>
      <c r="F2" s="338"/>
      <c r="G2" s="338"/>
      <c r="H2" s="338"/>
      <c r="I2" s="338"/>
    </row>
    <row r="3" spans="1:22" ht="15.75">
      <c r="B3" s="337"/>
      <c r="C3" s="337"/>
      <c r="D3" s="337"/>
      <c r="E3" s="337"/>
      <c r="F3" s="338"/>
      <c r="G3" s="338"/>
      <c r="H3" s="338"/>
      <c r="I3" s="338"/>
    </row>
    <row r="4" spans="1:22" ht="15.75">
      <c r="B4" s="337"/>
      <c r="C4" s="337"/>
      <c r="D4" s="337"/>
      <c r="E4" s="337"/>
      <c r="F4" s="338"/>
      <c r="G4" s="338"/>
      <c r="H4" s="338"/>
      <c r="I4" s="338"/>
    </row>
    <row r="5" spans="1:22" ht="26.25">
      <c r="B5" s="55" t="str">
        <f>Cover!$B$5 &amp; " - "&amp;Cover!$H$3</f>
        <v>Non-life Template for the Risk-based Capital 2 Framework - 2020 v2</v>
      </c>
      <c r="F5" s="38"/>
      <c r="G5" s="38"/>
      <c r="H5" s="38"/>
      <c r="I5" s="38"/>
    </row>
    <row r="6" spans="1:22" ht="15.75">
      <c r="B6" s="56" t="str">
        <f>Cover!$B$6</f>
        <v>Insurance Commission</v>
      </c>
      <c r="F6" s="38"/>
      <c r="G6" s="38"/>
      <c r="H6" s="38"/>
      <c r="I6" s="38"/>
    </row>
    <row r="7" spans="1:22" ht="15.75">
      <c r="B7" s="127" t="str">
        <f>Cover!D32</f>
        <v>Calculation of Interest Risk and Credit Spread Risk Charges</v>
      </c>
      <c r="F7" s="38"/>
      <c r="G7" s="38"/>
      <c r="H7" s="38"/>
      <c r="I7" s="38"/>
    </row>
    <row r="9" spans="1:22">
      <c r="B9" s="59" t="s">
        <v>155</v>
      </c>
      <c r="C9" s="59"/>
      <c r="D9" s="498">
        <f>Cover!$C$9</f>
        <v>0</v>
      </c>
      <c r="E9" s="499"/>
      <c r="F9" s="38"/>
    </row>
    <row r="10" spans="1:22">
      <c r="B10" s="59" t="s">
        <v>156</v>
      </c>
      <c r="C10" s="59"/>
      <c r="D10" s="500">
        <f>Cover!$C$10</f>
        <v>0</v>
      </c>
      <c r="E10" s="501"/>
      <c r="F10" s="38"/>
    </row>
    <row r="11" spans="1:22">
      <c r="F11" s="38"/>
      <c r="G11" s="38"/>
      <c r="H11" s="38"/>
      <c r="I11" s="38"/>
    </row>
    <row r="12" spans="1:22">
      <c r="B12" s="180" t="s">
        <v>103</v>
      </c>
      <c r="G12" s="180" t="s">
        <v>129</v>
      </c>
      <c r="L12" s="180" t="s">
        <v>130</v>
      </c>
    </row>
    <row r="13" spans="1:22">
      <c r="B13" s="181" t="s">
        <v>104</v>
      </c>
      <c r="C13" s="182"/>
      <c r="D13" s="182"/>
      <c r="E13" s="182"/>
      <c r="G13" s="363" t="s">
        <v>32</v>
      </c>
      <c r="H13" s="363" t="s">
        <v>28</v>
      </c>
      <c r="I13" s="363" t="s">
        <v>72</v>
      </c>
      <c r="J13" s="363" t="s">
        <v>73</v>
      </c>
      <c r="L13" s="363" t="s">
        <v>32</v>
      </c>
      <c r="M13" s="363" t="s">
        <v>28</v>
      </c>
      <c r="N13" s="363" t="s">
        <v>72</v>
      </c>
      <c r="O13" s="363" t="s">
        <v>73</v>
      </c>
    </row>
    <row r="14" spans="1:22" ht="14.45" customHeight="1">
      <c r="B14" s="183" t="s">
        <v>151</v>
      </c>
      <c r="C14" s="368"/>
      <c r="D14" s="368"/>
      <c r="E14" s="368"/>
      <c r="G14" s="364" t="s">
        <v>89</v>
      </c>
      <c r="H14" s="364"/>
      <c r="I14" s="364"/>
      <c r="J14" s="365">
        <f>IF(J16&lt;J17,IF(J16&gt;0,0,ABS(J16)),IF(J17&gt;0,0,ABS(J17)))</f>
        <v>0</v>
      </c>
      <c r="L14" s="366" t="s">
        <v>90</v>
      </c>
      <c r="M14" s="366"/>
      <c r="N14" s="366"/>
      <c r="O14" s="365">
        <f>MAX(IF(O16&lt;O17,IF(O16&gt;0,0,ABS(O16)),IF(O17&gt;0,0,ABS(O17)))-J14,0)</f>
        <v>0</v>
      </c>
      <c r="U14" s="107"/>
      <c r="V14" s="367"/>
    </row>
    <row r="15" spans="1:22">
      <c r="G15" s="369" t="s">
        <v>29</v>
      </c>
      <c r="H15" s="370">
        <f>H62</f>
        <v>0</v>
      </c>
      <c r="I15" s="370">
        <f>L62+O62</f>
        <v>0</v>
      </c>
      <c r="J15" s="371"/>
      <c r="L15" s="369" t="s">
        <v>29</v>
      </c>
      <c r="M15" s="370">
        <f>H100</f>
        <v>0</v>
      </c>
      <c r="N15" s="370">
        <f>L100+O100</f>
        <v>0</v>
      </c>
      <c r="O15" s="371"/>
    </row>
    <row r="16" spans="1:22">
      <c r="G16" s="372" t="s">
        <v>30</v>
      </c>
      <c r="H16" s="373">
        <f>I62</f>
        <v>0</v>
      </c>
      <c r="I16" s="373">
        <f>M62+P62</f>
        <v>0</v>
      </c>
      <c r="J16" s="374">
        <f>(H16-H15)-(I16-I15)</f>
        <v>0</v>
      </c>
      <c r="L16" s="372" t="s">
        <v>30</v>
      </c>
      <c r="M16" s="373">
        <f>I100</f>
        <v>0</v>
      </c>
      <c r="N16" s="373">
        <f>M100+P100</f>
        <v>0</v>
      </c>
      <c r="O16" s="374">
        <f>(M16-M15)-(N16-N15)</f>
        <v>0</v>
      </c>
    </row>
    <row r="17" spans="2:17">
      <c r="G17" s="375" t="s">
        <v>31</v>
      </c>
      <c r="H17" s="376">
        <f>J62</f>
        <v>0</v>
      </c>
      <c r="I17" s="376">
        <f>N62+Q62</f>
        <v>0</v>
      </c>
      <c r="J17" s="377">
        <f>(H17-H15)-(I17-I15)</f>
        <v>0</v>
      </c>
      <c r="L17" s="375" t="s">
        <v>31</v>
      </c>
      <c r="M17" s="376">
        <f>J100</f>
        <v>0</v>
      </c>
      <c r="N17" s="376">
        <f>N100+Q100</f>
        <v>0</v>
      </c>
      <c r="O17" s="377">
        <f>(M17-M15)-(N17-N15)</f>
        <v>0</v>
      </c>
    </row>
    <row r="18" spans="2:17">
      <c r="G18" s="107"/>
      <c r="H18" s="378"/>
      <c r="I18" s="378"/>
      <c r="J18" s="378"/>
      <c r="L18" s="107"/>
      <c r="M18" s="378"/>
      <c r="N18" s="378"/>
      <c r="O18" s="378"/>
    </row>
    <row r="19" spans="2:17">
      <c r="B19" s="379" t="s">
        <v>71</v>
      </c>
      <c r="C19" s="380"/>
      <c r="D19" s="380"/>
      <c r="G19" s="47"/>
      <c r="H19" s="221" t="str">
        <f>IF(I19="","","CHECK")</f>
        <v/>
      </c>
      <c r="I19" s="60" t="str">
        <f>IF(AND(G19="",SUM(H25:H57)&gt;0),"Please fill in average corporate bond spread","")</f>
        <v/>
      </c>
      <c r="J19" s="378"/>
      <c r="L19" s="107"/>
      <c r="M19" s="378"/>
      <c r="N19" s="378"/>
      <c r="O19" s="378"/>
    </row>
    <row r="20" spans="2:17">
      <c r="G20" s="107"/>
      <c r="H20" s="378"/>
      <c r="I20" s="378"/>
      <c r="J20" s="378"/>
      <c r="L20" s="107"/>
      <c r="M20" s="378"/>
      <c r="N20" s="378"/>
      <c r="O20" s="378"/>
    </row>
    <row r="21" spans="2:17">
      <c r="B21" s="180" t="s">
        <v>378</v>
      </c>
    </row>
    <row r="22" spans="2:17" s="38" customFormat="1" ht="15.6" customHeight="1">
      <c r="C22" s="381"/>
      <c r="G22" s="382" t="s">
        <v>266</v>
      </c>
      <c r="H22" s="383"/>
      <c r="I22" s="383"/>
      <c r="J22" s="384"/>
      <c r="L22" s="382" t="s">
        <v>34</v>
      </c>
      <c r="M22" s="383"/>
      <c r="N22" s="383"/>
      <c r="O22" s="383"/>
      <c r="P22" s="385"/>
      <c r="Q22" s="384"/>
    </row>
    <row r="23" spans="2:17" ht="60">
      <c r="B23" s="386" t="s">
        <v>33</v>
      </c>
      <c r="C23" s="386" t="s">
        <v>379</v>
      </c>
      <c r="D23" s="671" t="s">
        <v>25</v>
      </c>
      <c r="E23" s="672"/>
      <c r="F23" s="673"/>
      <c r="G23" s="387" t="s">
        <v>18</v>
      </c>
      <c r="H23" s="386" t="s">
        <v>19</v>
      </c>
      <c r="I23" s="386" t="s">
        <v>39</v>
      </c>
      <c r="J23" s="386" t="s">
        <v>274</v>
      </c>
      <c r="L23" s="386" t="s">
        <v>373</v>
      </c>
      <c r="M23" s="386" t="s">
        <v>284</v>
      </c>
      <c r="N23" s="386" t="s">
        <v>267</v>
      </c>
      <c r="O23" s="386" t="s">
        <v>69</v>
      </c>
      <c r="P23" s="386" t="s">
        <v>20</v>
      </c>
      <c r="Q23" s="386" t="s">
        <v>21</v>
      </c>
    </row>
    <row r="24" spans="2:17">
      <c r="B24" s="388"/>
      <c r="C24" s="388"/>
      <c r="D24" s="388"/>
      <c r="E24" s="388"/>
      <c r="F24" s="388"/>
      <c r="G24" s="389"/>
      <c r="H24" s="388"/>
      <c r="I24" s="388"/>
      <c r="J24" s="388"/>
      <c r="L24" s="388"/>
      <c r="M24" s="388"/>
      <c r="N24" s="388"/>
      <c r="O24" s="388"/>
      <c r="P24" s="388"/>
      <c r="Q24" s="388"/>
    </row>
    <row r="25" spans="2:17">
      <c r="B25" s="390">
        <v>0.25</v>
      </c>
      <c r="C25" s="486">
        <f>TREND($C$28:$C$29,$B$28:$B$29,B25)</f>
        <v>2.0094499999999994E-2</v>
      </c>
      <c r="D25" s="392"/>
      <c r="E25" s="393" t="s">
        <v>283</v>
      </c>
      <c r="F25" s="394"/>
      <c r="G25" s="4"/>
      <c r="H25" s="5"/>
      <c r="I25" s="5"/>
      <c r="J25" s="5"/>
      <c r="K25" s="558"/>
      <c r="L25" s="5"/>
      <c r="M25" s="5"/>
      <c r="N25" s="1"/>
      <c r="O25" s="1"/>
      <c r="P25" s="1"/>
      <c r="Q25" s="1"/>
    </row>
    <row r="26" spans="2:17">
      <c r="B26" s="395">
        <v>0.5</v>
      </c>
      <c r="C26" s="486">
        <f t="shared" ref="C26:C27" si="0">TREND($C$28:$C$29,$B$28:$B$29,B26)</f>
        <v>2.0658999999999997E-2</v>
      </c>
      <c r="D26" s="396"/>
      <c r="E26" s="397" t="s">
        <v>188</v>
      </c>
      <c r="F26" s="398"/>
      <c r="G26" s="13"/>
      <c r="H26" s="14"/>
      <c r="I26" s="14"/>
      <c r="J26" s="14"/>
      <c r="K26" s="558"/>
      <c r="L26" s="14"/>
      <c r="M26" s="14"/>
      <c r="N26" s="15"/>
      <c r="O26" s="15"/>
      <c r="P26" s="15"/>
      <c r="Q26" s="15"/>
    </row>
    <row r="27" spans="2:17">
      <c r="B27" s="395">
        <v>0.75</v>
      </c>
      <c r="C27" s="486">
        <f t="shared" si="0"/>
        <v>2.1223499999999999E-2</v>
      </c>
      <c r="D27" s="396"/>
      <c r="E27" s="397" t="s">
        <v>190</v>
      </c>
      <c r="F27" s="398"/>
      <c r="G27" s="13"/>
      <c r="H27" s="14"/>
      <c r="I27" s="14"/>
      <c r="J27" s="14"/>
      <c r="K27" s="558"/>
      <c r="L27" s="14"/>
      <c r="M27" s="14"/>
      <c r="N27" s="15"/>
      <c r="O27" s="15"/>
      <c r="P27" s="15"/>
      <c r="Q27" s="15"/>
    </row>
    <row r="28" spans="2:17">
      <c r="B28" s="395">
        <v>1</v>
      </c>
      <c r="C28" s="429">
        <v>2.1787999999999998E-2</v>
      </c>
      <c r="D28" s="396"/>
      <c r="E28" s="397" t="s">
        <v>191</v>
      </c>
      <c r="F28" s="398"/>
      <c r="G28" s="13"/>
      <c r="H28" s="14"/>
      <c r="I28" s="14"/>
      <c r="J28" s="14"/>
      <c r="K28" s="558"/>
      <c r="L28" s="14"/>
      <c r="M28" s="14"/>
      <c r="N28" s="15"/>
      <c r="O28" s="15"/>
      <c r="P28" s="15"/>
      <c r="Q28" s="15"/>
    </row>
    <row r="29" spans="2:17">
      <c r="B29" s="399">
        <v>2</v>
      </c>
      <c r="C29" s="429">
        <v>2.4046000000000001E-2</v>
      </c>
      <c r="D29" s="400"/>
      <c r="E29" s="401" t="s">
        <v>40</v>
      </c>
      <c r="F29" s="402"/>
      <c r="G29" s="6"/>
      <c r="H29" s="7"/>
      <c r="I29" s="7"/>
      <c r="J29" s="7"/>
      <c r="K29" s="558"/>
      <c r="L29" s="7"/>
      <c r="M29" s="7"/>
      <c r="N29" s="2"/>
      <c r="O29" s="2"/>
      <c r="P29" s="2"/>
      <c r="Q29" s="2"/>
    </row>
    <row r="30" spans="2:17">
      <c r="B30" s="399">
        <v>3</v>
      </c>
      <c r="C30" s="429">
        <v>3.1134999999999999E-2</v>
      </c>
      <c r="D30" s="400"/>
      <c r="E30" s="401" t="s">
        <v>41</v>
      </c>
      <c r="F30" s="402"/>
      <c r="G30" s="6"/>
      <c r="H30" s="7"/>
      <c r="I30" s="7"/>
      <c r="J30" s="7"/>
      <c r="K30" s="558"/>
      <c r="L30" s="7"/>
      <c r="M30" s="7"/>
      <c r="N30" s="2"/>
      <c r="O30" s="2"/>
      <c r="P30" s="2"/>
      <c r="Q30" s="2"/>
    </row>
    <row r="31" spans="2:17">
      <c r="B31" s="399">
        <v>4</v>
      </c>
      <c r="C31" s="429">
        <v>3.3661999999999997E-2</v>
      </c>
      <c r="D31" s="400"/>
      <c r="E31" s="401" t="s">
        <v>42</v>
      </c>
      <c r="F31" s="402"/>
      <c r="G31" s="6"/>
      <c r="H31" s="7"/>
      <c r="I31" s="7"/>
      <c r="J31" s="7"/>
      <c r="K31" s="558"/>
      <c r="L31" s="7"/>
      <c r="M31" s="7"/>
      <c r="N31" s="2"/>
      <c r="O31" s="2"/>
      <c r="P31" s="2"/>
      <c r="Q31" s="2"/>
    </row>
    <row r="32" spans="2:17">
      <c r="B32" s="399">
        <v>5</v>
      </c>
      <c r="C32" s="429">
        <v>2.9182E-2</v>
      </c>
      <c r="D32" s="400"/>
      <c r="E32" s="401" t="s">
        <v>43</v>
      </c>
      <c r="F32" s="402"/>
      <c r="G32" s="6"/>
      <c r="H32" s="7"/>
      <c r="I32" s="7"/>
      <c r="J32" s="7"/>
      <c r="K32" s="558"/>
      <c r="L32" s="7"/>
      <c r="M32" s="7"/>
      <c r="N32" s="2"/>
      <c r="O32" s="2"/>
      <c r="P32" s="2"/>
      <c r="Q32" s="2"/>
    </row>
    <row r="33" spans="2:21" ht="15.6" customHeight="1">
      <c r="B33" s="399">
        <v>6</v>
      </c>
      <c r="C33" s="429">
        <v>2.9295000000000002E-2</v>
      </c>
      <c r="D33" s="400"/>
      <c r="E33" s="401" t="s">
        <v>44</v>
      </c>
      <c r="F33" s="402"/>
      <c r="G33" s="6"/>
      <c r="H33" s="7"/>
      <c r="I33" s="7"/>
      <c r="J33" s="7"/>
      <c r="K33" s="558"/>
      <c r="L33" s="7"/>
      <c r="M33" s="7"/>
      <c r="N33" s="2"/>
      <c r="O33" s="2"/>
      <c r="P33" s="2"/>
      <c r="Q33" s="2"/>
    </row>
    <row r="34" spans="2:21">
      <c r="B34" s="399">
        <v>7</v>
      </c>
      <c r="C34" s="429">
        <v>2.9408E-2</v>
      </c>
      <c r="D34" s="400"/>
      <c r="E34" s="401" t="s">
        <v>45</v>
      </c>
      <c r="F34" s="402"/>
      <c r="G34" s="6"/>
      <c r="H34" s="7"/>
      <c r="I34" s="7"/>
      <c r="J34" s="7"/>
      <c r="K34" s="558"/>
      <c r="L34" s="7"/>
      <c r="M34" s="7"/>
      <c r="N34" s="2"/>
      <c r="O34" s="2"/>
      <c r="P34" s="2"/>
      <c r="Q34" s="2"/>
    </row>
    <row r="35" spans="2:21">
      <c r="B35" s="399">
        <v>8</v>
      </c>
      <c r="C35" s="429">
        <v>3.4368999999999997E-2</v>
      </c>
      <c r="D35" s="400"/>
      <c r="E35" s="401" t="s">
        <v>46</v>
      </c>
      <c r="F35" s="402"/>
      <c r="G35" s="6"/>
      <c r="H35" s="7"/>
      <c r="I35" s="7"/>
      <c r="J35" s="7"/>
      <c r="K35" s="558"/>
      <c r="L35" s="7"/>
      <c r="M35" s="7"/>
      <c r="N35" s="2"/>
      <c r="O35" s="2"/>
      <c r="P35" s="2"/>
      <c r="Q35" s="2"/>
    </row>
    <row r="36" spans="2:21">
      <c r="B36" s="399">
        <v>9</v>
      </c>
      <c r="C36" s="429">
        <v>3.9555E-2</v>
      </c>
      <c r="D36" s="400"/>
      <c r="E36" s="401" t="s">
        <v>47</v>
      </c>
      <c r="F36" s="402"/>
      <c r="G36" s="6"/>
      <c r="H36" s="7"/>
      <c r="I36" s="7"/>
      <c r="J36" s="7"/>
      <c r="K36" s="558"/>
      <c r="L36" s="7"/>
      <c r="M36" s="7"/>
      <c r="N36" s="2"/>
      <c r="O36" s="2"/>
      <c r="P36" s="2"/>
      <c r="Q36" s="2"/>
    </row>
    <row r="37" spans="2:21">
      <c r="B37" s="399">
        <v>10</v>
      </c>
      <c r="C37" s="429">
        <v>4.5019999999999998E-2</v>
      </c>
      <c r="D37" s="400"/>
      <c r="E37" s="401" t="s">
        <v>48</v>
      </c>
      <c r="F37" s="402"/>
      <c r="G37" s="6"/>
      <c r="H37" s="7"/>
      <c r="I37" s="7"/>
      <c r="J37" s="7"/>
      <c r="K37" s="558"/>
      <c r="L37" s="7"/>
      <c r="M37" s="7"/>
      <c r="N37" s="2"/>
      <c r="O37" s="2"/>
      <c r="P37" s="2"/>
      <c r="Q37" s="2"/>
    </row>
    <row r="38" spans="2:21">
      <c r="B38" s="399">
        <v>11</v>
      </c>
      <c r="C38" s="429">
        <v>4.4833999999999999E-2</v>
      </c>
      <c r="D38" s="400"/>
      <c r="E38" s="401" t="s">
        <v>49</v>
      </c>
      <c r="F38" s="402"/>
      <c r="G38" s="6"/>
      <c r="H38" s="7"/>
      <c r="I38" s="7"/>
      <c r="J38" s="7"/>
      <c r="K38" s="558"/>
      <c r="L38" s="7"/>
      <c r="M38" s="7"/>
      <c r="N38" s="2"/>
      <c r="O38" s="2"/>
      <c r="P38" s="2"/>
      <c r="Q38" s="2"/>
    </row>
    <row r="39" spans="2:21">
      <c r="B39" s="399">
        <v>12</v>
      </c>
      <c r="C39" s="429">
        <v>4.4684000000000001E-2</v>
      </c>
      <c r="D39" s="400"/>
      <c r="E39" s="401" t="s">
        <v>50</v>
      </c>
      <c r="F39" s="402"/>
      <c r="G39" s="6"/>
      <c r="H39" s="7"/>
      <c r="I39" s="7"/>
      <c r="J39" s="7"/>
      <c r="K39" s="558"/>
      <c r="L39" s="7"/>
      <c r="M39" s="7"/>
      <c r="N39" s="2"/>
      <c r="O39" s="2"/>
      <c r="P39" s="2"/>
      <c r="Q39" s="2"/>
    </row>
    <row r="40" spans="2:21">
      <c r="B40" s="399">
        <v>13</v>
      </c>
      <c r="C40" s="429">
        <v>4.4561999999999997E-2</v>
      </c>
      <c r="D40" s="400"/>
      <c r="E40" s="401" t="s">
        <v>51</v>
      </c>
      <c r="F40" s="402"/>
      <c r="G40" s="6"/>
      <c r="H40" s="7"/>
      <c r="I40" s="7"/>
      <c r="J40" s="7"/>
      <c r="K40" s="558"/>
      <c r="L40" s="7"/>
      <c r="M40" s="7"/>
      <c r="N40" s="2"/>
      <c r="O40" s="2"/>
      <c r="P40" s="2"/>
      <c r="Q40" s="2"/>
    </row>
    <row r="41" spans="2:21">
      <c r="B41" s="399">
        <v>14</v>
      </c>
      <c r="C41" s="429">
        <v>4.4462000000000002E-2</v>
      </c>
      <c r="D41" s="400"/>
      <c r="E41" s="401" t="s">
        <v>52</v>
      </c>
      <c r="F41" s="402"/>
      <c r="G41" s="6"/>
      <c r="H41" s="7"/>
      <c r="I41" s="7"/>
      <c r="J41" s="7"/>
      <c r="K41" s="558"/>
      <c r="L41" s="7"/>
      <c r="M41" s="7"/>
      <c r="N41" s="2"/>
      <c r="O41" s="2"/>
      <c r="P41" s="2"/>
      <c r="Q41" s="2"/>
      <c r="S41" s="107"/>
      <c r="T41" s="107"/>
      <c r="U41" s="367"/>
    </row>
    <row r="42" spans="2:21">
      <c r="B42" s="399">
        <v>15</v>
      </c>
      <c r="C42" s="429">
        <v>4.4380000000000003E-2</v>
      </c>
      <c r="D42" s="400"/>
      <c r="E42" s="401" t="s">
        <v>53</v>
      </c>
      <c r="F42" s="402"/>
      <c r="G42" s="6"/>
      <c r="H42" s="7"/>
      <c r="I42" s="7"/>
      <c r="J42" s="7"/>
      <c r="K42" s="558"/>
      <c r="L42" s="7"/>
      <c r="M42" s="7"/>
      <c r="N42" s="2"/>
      <c r="O42" s="2"/>
      <c r="P42" s="2"/>
      <c r="Q42" s="2"/>
    </row>
    <row r="43" spans="2:21">
      <c r="B43" s="399">
        <v>16</v>
      </c>
      <c r="C43" s="429">
        <v>4.4311999999999997E-2</v>
      </c>
      <c r="D43" s="400"/>
      <c r="E43" s="401" t="s">
        <v>54</v>
      </c>
      <c r="F43" s="402"/>
      <c r="G43" s="6"/>
      <c r="H43" s="7"/>
      <c r="I43" s="7"/>
      <c r="J43" s="7"/>
      <c r="K43" s="558"/>
      <c r="L43" s="7"/>
      <c r="M43" s="7"/>
      <c r="N43" s="2"/>
      <c r="O43" s="2"/>
      <c r="P43" s="2"/>
      <c r="Q43" s="2"/>
    </row>
    <row r="44" spans="2:21">
      <c r="B44" s="399">
        <v>17</v>
      </c>
      <c r="C44" s="429">
        <v>4.4256999999999998E-2</v>
      </c>
      <c r="D44" s="400"/>
      <c r="E44" s="401" t="s">
        <v>55</v>
      </c>
      <c r="F44" s="402"/>
      <c r="G44" s="6"/>
      <c r="H44" s="7"/>
      <c r="I44" s="7"/>
      <c r="J44" s="7"/>
      <c r="K44" s="558"/>
      <c r="L44" s="7"/>
      <c r="M44" s="7"/>
      <c r="N44" s="2"/>
      <c r="O44" s="2"/>
      <c r="P44" s="2"/>
      <c r="Q44" s="2"/>
    </row>
    <row r="45" spans="2:21">
      <c r="B45" s="399">
        <v>18</v>
      </c>
      <c r="C45" s="429">
        <v>4.4212000000000001E-2</v>
      </c>
      <c r="D45" s="400"/>
      <c r="E45" s="401" t="s">
        <v>56</v>
      </c>
      <c r="F45" s="402"/>
      <c r="G45" s="6"/>
      <c r="H45" s="7"/>
      <c r="I45" s="7"/>
      <c r="J45" s="7"/>
      <c r="K45" s="558"/>
      <c r="L45" s="7"/>
      <c r="M45" s="7"/>
      <c r="N45" s="2"/>
      <c r="O45" s="2"/>
      <c r="P45" s="2"/>
      <c r="Q45" s="2"/>
    </row>
    <row r="46" spans="2:21">
      <c r="B46" s="399">
        <v>19</v>
      </c>
      <c r="C46" s="429">
        <v>4.4174999999999999E-2</v>
      </c>
      <c r="D46" s="400"/>
      <c r="E46" s="401" t="s">
        <v>57</v>
      </c>
      <c r="F46" s="402"/>
      <c r="G46" s="6"/>
      <c r="H46" s="7"/>
      <c r="I46" s="7"/>
      <c r="J46" s="7"/>
      <c r="K46" s="558"/>
      <c r="L46" s="7"/>
      <c r="M46" s="7"/>
      <c r="N46" s="2"/>
      <c r="O46" s="2"/>
      <c r="P46" s="2"/>
      <c r="Q46" s="2"/>
    </row>
    <row r="47" spans="2:21">
      <c r="B47" s="399">
        <v>20</v>
      </c>
      <c r="C47" s="429">
        <v>4.4146999999999999E-2</v>
      </c>
      <c r="D47" s="400"/>
      <c r="E47" s="401" t="s">
        <v>58</v>
      </c>
      <c r="F47" s="402"/>
      <c r="G47" s="6"/>
      <c r="H47" s="7"/>
      <c r="I47" s="7"/>
      <c r="J47" s="7"/>
      <c r="K47" s="558"/>
      <c r="L47" s="7"/>
      <c r="M47" s="7"/>
      <c r="N47" s="2"/>
      <c r="O47" s="2"/>
      <c r="P47" s="2"/>
      <c r="Q47" s="2"/>
    </row>
    <row r="48" spans="2:21">
      <c r="B48" s="399">
        <v>21</v>
      </c>
      <c r="C48" s="429">
        <v>5.8872000000000001E-2</v>
      </c>
      <c r="D48" s="400"/>
      <c r="E48" s="401" t="s">
        <v>59</v>
      </c>
      <c r="F48" s="402"/>
      <c r="G48" s="6"/>
      <c r="H48" s="7"/>
      <c r="I48" s="7"/>
      <c r="J48" s="7"/>
      <c r="K48" s="558"/>
      <c r="L48" s="7"/>
      <c r="M48" s="7"/>
      <c r="N48" s="2"/>
      <c r="O48" s="2"/>
      <c r="P48" s="2"/>
      <c r="Q48" s="2"/>
    </row>
    <row r="49" spans="2:17">
      <c r="B49" s="399">
        <v>22</v>
      </c>
      <c r="C49" s="429">
        <v>5.8498000000000001E-2</v>
      </c>
      <c r="D49" s="400"/>
      <c r="E49" s="401" t="s">
        <v>60</v>
      </c>
      <c r="F49" s="402"/>
      <c r="G49" s="6"/>
      <c r="H49" s="7"/>
      <c r="I49" s="7"/>
      <c r="J49" s="7"/>
      <c r="K49" s="558"/>
      <c r="L49" s="7"/>
      <c r="M49" s="7"/>
      <c r="N49" s="2"/>
      <c r="O49" s="2"/>
      <c r="P49" s="2"/>
      <c r="Q49" s="2"/>
    </row>
    <row r="50" spans="2:17">
      <c r="B50" s="399">
        <v>23</v>
      </c>
      <c r="C50" s="429">
        <v>5.8157E-2</v>
      </c>
      <c r="D50" s="400"/>
      <c r="E50" s="401" t="s">
        <v>61</v>
      </c>
      <c r="F50" s="402"/>
      <c r="G50" s="6"/>
      <c r="H50" s="7"/>
      <c r="I50" s="7"/>
      <c r="J50" s="7"/>
      <c r="K50" s="558"/>
      <c r="L50" s="7"/>
      <c r="M50" s="7"/>
      <c r="N50" s="2"/>
      <c r="O50" s="2"/>
      <c r="P50" s="2"/>
      <c r="Q50" s="2"/>
    </row>
    <row r="51" spans="2:17">
      <c r="B51" s="399">
        <v>24</v>
      </c>
      <c r="C51" s="429">
        <v>5.7844E-2</v>
      </c>
      <c r="D51" s="400"/>
      <c r="E51" s="401" t="s">
        <v>62</v>
      </c>
      <c r="F51" s="402"/>
      <c r="G51" s="6"/>
      <c r="H51" s="7"/>
      <c r="I51" s="7"/>
      <c r="J51" s="7"/>
      <c r="K51" s="558"/>
      <c r="L51" s="7"/>
      <c r="M51" s="7"/>
      <c r="N51" s="2"/>
      <c r="O51" s="2"/>
      <c r="P51" s="2"/>
      <c r="Q51" s="2"/>
    </row>
    <row r="52" spans="2:17">
      <c r="B52" s="399">
        <v>25</v>
      </c>
      <c r="C52" s="429">
        <v>5.7556999999999997E-2</v>
      </c>
      <c r="D52" s="400"/>
      <c r="E52" s="401" t="s">
        <v>63</v>
      </c>
      <c r="F52" s="402"/>
      <c r="G52" s="6"/>
      <c r="H52" s="7"/>
      <c r="I52" s="7"/>
      <c r="J52" s="7"/>
      <c r="K52" s="558"/>
      <c r="L52" s="7"/>
      <c r="M52" s="7"/>
      <c r="N52" s="2"/>
      <c r="O52" s="2"/>
      <c r="P52" s="2"/>
      <c r="Q52" s="2"/>
    </row>
    <row r="53" spans="2:17">
      <c r="B53" s="399">
        <v>26</v>
      </c>
      <c r="C53" s="429">
        <v>5.7291000000000002E-2</v>
      </c>
      <c r="D53" s="400"/>
      <c r="E53" s="401" t="s">
        <v>64</v>
      </c>
      <c r="F53" s="402"/>
      <c r="G53" s="6"/>
      <c r="H53" s="7"/>
      <c r="I53" s="7"/>
      <c r="J53" s="7"/>
      <c r="K53" s="558"/>
      <c r="L53" s="7"/>
      <c r="M53" s="7"/>
      <c r="N53" s="2"/>
      <c r="O53" s="2"/>
      <c r="P53" s="2"/>
      <c r="Q53" s="2"/>
    </row>
    <row r="54" spans="2:17">
      <c r="B54" s="399">
        <v>27</v>
      </c>
      <c r="C54" s="429">
        <v>5.7044999999999998E-2</v>
      </c>
      <c r="D54" s="400"/>
      <c r="E54" s="401" t="s">
        <v>65</v>
      </c>
      <c r="F54" s="402"/>
      <c r="G54" s="6"/>
      <c r="H54" s="7"/>
      <c r="I54" s="7"/>
      <c r="J54" s="7"/>
      <c r="K54" s="558"/>
      <c r="L54" s="7"/>
      <c r="M54" s="7"/>
      <c r="N54" s="2"/>
      <c r="O54" s="2"/>
      <c r="P54" s="2"/>
      <c r="Q54" s="2"/>
    </row>
    <row r="55" spans="2:17">
      <c r="B55" s="399">
        <v>28</v>
      </c>
      <c r="C55" s="429">
        <v>5.6816999999999999E-2</v>
      </c>
      <c r="D55" s="400"/>
      <c r="E55" s="401" t="s">
        <v>66</v>
      </c>
      <c r="F55" s="402"/>
      <c r="G55" s="6"/>
      <c r="H55" s="7"/>
      <c r="I55" s="7"/>
      <c r="J55" s="7"/>
      <c r="K55" s="558"/>
      <c r="L55" s="7"/>
      <c r="M55" s="7"/>
      <c r="N55" s="2"/>
      <c r="O55" s="2"/>
      <c r="P55" s="2"/>
      <c r="Q55" s="2"/>
    </row>
    <row r="56" spans="2:17">
      <c r="B56" s="399">
        <v>29</v>
      </c>
      <c r="C56" s="429">
        <v>5.6605000000000003E-2</v>
      </c>
      <c r="D56" s="400"/>
      <c r="E56" s="401" t="s">
        <v>67</v>
      </c>
      <c r="F56" s="402"/>
      <c r="G56" s="6"/>
      <c r="H56" s="7"/>
      <c r="I56" s="7"/>
      <c r="J56" s="7"/>
      <c r="K56" s="558"/>
      <c r="L56" s="7"/>
      <c r="M56" s="7"/>
      <c r="N56" s="2"/>
      <c r="O56" s="2"/>
      <c r="P56" s="2"/>
      <c r="Q56" s="2"/>
    </row>
    <row r="57" spans="2:17">
      <c r="B57" s="403">
        <v>30</v>
      </c>
      <c r="C57" s="430">
        <v>5.6406999999999999E-2</v>
      </c>
      <c r="D57" s="404"/>
      <c r="E57" s="405" t="s">
        <v>68</v>
      </c>
      <c r="F57" s="406"/>
      <c r="G57" s="8"/>
      <c r="H57" s="9"/>
      <c r="I57" s="9"/>
      <c r="J57" s="9"/>
      <c r="K57" s="558"/>
      <c r="L57" s="9"/>
      <c r="M57" s="9"/>
      <c r="N57" s="3"/>
      <c r="O57" s="3"/>
      <c r="P57" s="3"/>
      <c r="Q57" s="3"/>
    </row>
    <row r="58" spans="2:17" ht="14.45" customHeight="1"/>
    <row r="59" spans="2:17" ht="14.45" customHeight="1">
      <c r="B59" s="180" t="s">
        <v>149</v>
      </c>
    </row>
    <row r="60" spans="2:17" ht="14.45" customHeight="1">
      <c r="G60" s="387" t="s">
        <v>266</v>
      </c>
      <c r="H60" s="407"/>
      <c r="I60" s="407"/>
      <c r="J60" s="408"/>
      <c r="L60" s="422" t="s">
        <v>381</v>
      </c>
      <c r="M60" s="386"/>
      <c r="N60" s="386"/>
      <c r="O60" s="386" t="s">
        <v>87</v>
      </c>
      <c r="P60" s="386"/>
      <c r="Q60" s="386"/>
    </row>
    <row r="61" spans="2:17" ht="60">
      <c r="B61" s="386" t="s">
        <v>86</v>
      </c>
      <c r="C61" s="386" t="s">
        <v>23</v>
      </c>
      <c r="D61" s="386" t="s">
        <v>24</v>
      </c>
      <c r="E61" s="386" t="s">
        <v>112</v>
      </c>
      <c r="F61" s="386" t="s">
        <v>113</v>
      </c>
      <c r="G61" s="386" t="s">
        <v>148</v>
      </c>
      <c r="H61" s="386" t="s">
        <v>88</v>
      </c>
      <c r="I61" s="386" t="s">
        <v>26</v>
      </c>
      <c r="J61" s="386" t="s">
        <v>27</v>
      </c>
      <c r="L61" s="386" t="s">
        <v>88</v>
      </c>
      <c r="M61" s="386" t="s">
        <v>26</v>
      </c>
      <c r="N61" s="386" t="s">
        <v>27</v>
      </c>
      <c r="O61" s="386" t="s">
        <v>88</v>
      </c>
      <c r="P61" s="386" t="s">
        <v>26</v>
      </c>
      <c r="Q61" s="386" t="s">
        <v>27</v>
      </c>
    </row>
    <row r="62" spans="2:17">
      <c r="B62" s="409" t="s">
        <v>22</v>
      </c>
      <c r="C62" s="410"/>
      <c r="D62" s="410"/>
      <c r="E62" s="410"/>
      <c r="F62" s="411"/>
      <c r="G62" s="412">
        <f>SUM(G63:G95)</f>
        <v>0</v>
      </c>
      <c r="H62" s="412">
        <f>SUM(H63:H95)</f>
        <v>0</v>
      </c>
      <c r="I62" s="412">
        <f>SUM(I63:I95)</f>
        <v>0</v>
      </c>
      <c r="J62" s="412">
        <f>SUM(J63:J95)</f>
        <v>0</v>
      </c>
      <c r="K62" s="413"/>
      <c r="L62" s="412">
        <f t="shared" ref="L62:Q62" si="1">SUM(L63:L95)</f>
        <v>0</v>
      </c>
      <c r="M62" s="412">
        <f t="shared" si="1"/>
        <v>0</v>
      </c>
      <c r="N62" s="412">
        <f t="shared" si="1"/>
        <v>0</v>
      </c>
      <c r="O62" s="412">
        <f t="shared" si="1"/>
        <v>0</v>
      </c>
      <c r="P62" s="412">
        <f t="shared" si="1"/>
        <v>0</v>
      </c>
      <c r="Q62" s="412">
        <f t="shared" si="1"/>
        <v>0</v>
      </c>
    </row>
    <row r="63" spans="2:17">
      <c r="B63" s="390">
        <f t="shared" ref="B63:B95" si="2">B25</f>
        <v>0.25</v>
      </c>
      <c r="C63" s="414">
        <v>1.88</v>
      </c>
      <c r="D63" s="414">
        <v>1</v>
      </c>
      <c r="E63" s="415">
        <f>C25*(1+C63)</f>
        <v>5.7872159999999978E-2</v>
      </c>
      <c r="F63" s="415">
        <f>C25*(1-D63)</f>
        <v>0</v>
      </c>
      <c r="G63" s="416">
        <f>SUM(G25:J25)</f>
        <v>0</v>
      </c>
      <c r="H63" s="416">
        <f>$G63*((1+C25)^(-(B63)/2))</f>
        <v>0</v>
      </c>
      <c r="I63" s="416">
        <f>$G63*((1+E63)^(-B63/2))</f>
        <v>0</v>
      </c>
      <c r="J63" s="416">
        <f>$G63*((1+F63)^(-B63/2))</f>
        <v>0</v>
      </c>
      <c r="L63" s="416">
        <f>L25*((1+C25)^(-(B63)/2))</f>
        <v>0</v>
      </c>
      <c r="M63" s="416">
        <f>L25*((1+E63)^(-(B63)/2))</f>
        <v>0</v>
      </c>
      <c r="N63" s="416">
        <f t="shared" ref="N63" si="3">L25*((1+F63)^(-(B63)/2))</f>
        <v>0</v>
      </c>
      <c r="O63" s="416">
        <f t="shared" ref="O63" si="4">M25*((1+C25)^(-(B63)/2))</f>
        <v>0</v>
      </c>
      <c r="P63" s="416">
        <f t="shared" ref="P63" si="5">M25*((1+E63)^(-(B63)/2))</f>
        <v>0</v>
      </c>
      <c r="Q63" s="416">
        <f t="shared" ref="Q63" si="6">M25*((1+F63)^(-(B63)/2))</f>
        <v>0</v>
      </c>
    </row>
    <row r="64" spans="2:17">
      <c r="B64" s="399">
        <f t="shared" si="2"/>
        <v>0.5</v>
      </c>
      <c r="C64" s="417">
        <v>1.69</v>
      </c>
      <c r="D64" s="417">
        <v>1</v>
      </c>
      <c r="E64" s="418">
        <f>C26*(1+C64)</f>
        <v>5.557270999999999E-2</v>
      </c>
      <c r="F64" s="418">
        <f>C26*(1-D64)</f>
        <v>0</v>
      </c>
      <c r="G64" s="419">
        <f t="shared" ref="G64:G95" si="7">SUM(G26:J26)</f>
        <v>0</v>
      </c>
      <c r="H64" s="419">
        <f t="shared" ref="H64:H95" si="8">$G64*((1+C26)^(-(B64+B63)/2))</f>
        <v>0</v>
      </c>
      <c r="I64" s="419">
        <f t="shared" ref="I64:I95" si="9">$G64*((1+E64)^(-(B64+B63)/2))</f>
        <v>0</v>
      </c>
      <c r="J64" s="419">
        <f t="shared" ref="J64:J95" si="10">$G64*((1+F64)^(-(B64+B63)/2))</f>
        <v>0</v>
      </c>
      <c r="L64" s="419">
        <f>L26*((1+C26)^(-(B64+B63)/2))</f>
        <v>0</v>
      </c>
      <c r="M64" s="419">
        <f>L26*((1+E64)^(-(B64+B63)/2))</f>
        <v>0</v>
      </c>
      <c r="N64" s="419">
        <f>L26*((1+F64)^(-(B64+B63)/2))</f>
        <v>0</v>
      </c>
      <c r="O64" s="419">
        <f>M26*((1+C26)^(-(B64+B63)/2))</f>
        <v>0</v>
      </c>
      <c r="P64" s="419">
        <f>M26*((1+E64)^(-(B64+B63)/2))</f>
        <v>0</v>
      </c>
      <c r="Q64" s="419">
        <f>M26*((1+F64)^(-(B64+B63)/2))</f>
        <v>0</v>
      </c>
    </row>
    <row r="65" spans="2:17">
      <c r="B65" s="399">
        <f t="shared" si="2"/>
        <v>0.75</v>
      </c>
      <c r="C65" s="417">
        <v>1.52</v>
      </c>
      <c r="D65" s="417">
        <v>1</v>
      </c>
      <c r="E65" s="418">
        <f>C27*(1+C65)</f>
        <v>5.3483219999999998E-2</v>
      </c>
      <c r="F65" s="418">
        <f>C27*(1-D65)</f>
        <v>0</v>
      </c>
      <c r="G65" s="419">
        <f t="shared" si="7"/>
        <v>0</v>
      </c>
      <c r="H65" s="419">
        <f t="shared" si="8"/>
        <v>0</v>
      </c>
      <c r="I65" s="419">
        <f t="shared" si="9"/>
        <v>0</v>
      </c>
      <c r="J65" s="419">
        <f t="shared" si="10"/>
        <v>0</v>
      </c>
      <c r="L65" s="419">
        <f t="shared" ref="L65:L95" si="11">L27*((1+C27)^(-(B65+B64)/2))</f>
        <v>0</v>
      </c>
      <c r="M65" s="419">
        <f t="shared" ref="M65:M95" si="12">L27*((1+E65)^(-(B65+B64)/2))</f>
        <v>0</v>
      </c>
      <c r="N65" s="419">
        <f t="shared" ref="N65:N95" si="13">L27*((1+F65)^(-(B65+B64)/2))</f>
        <v>0</v>
      </c>
      <c r="O65" s="419">
        <f t="shared" ref="O65:O95" si="14">M27*((1+C27)^(-(B65+B64)/2))</f>
        <v>0</v>
      </c>
      <c r="P65" s="419">
        <f t="shared" ref="P65:P95" si="15">M27*((1+E65)^(-(B65+B64)/2))</f>
        <v>0</v>
      </c>
      <c r="Q65" s="419">
        <f t="shared" ref="Q65:Q95" si="16">M27*((1+F65)^(-(B65+B64)/2))</f>
        <v>0</v>
      </c>
    </row>
    <row r="66" spans="2:17">
      <c r="B66" s="399">
        <f t="shared" si="2"/>
        <v>1</v>
      </c>
      <c r="C66" s="417">
        <v>1.35</v>
      </c>
      <c r="D66" s="417">
        <v>1</v>
      </c>
      <c r="E66" s="418">
        <f t="shared" ref="E66" si="17">C28*(1+C66)</f>
        <v>5.1201799999999999E-2</v>
      </c>
      <c r="F66" s="418">
        <f t="shared" ref="F66" si="18">C28*(1-D66)</f>
        <v>0</v>
      </c>
      <c r="G66" s="419">
        <f t="shared" si="7"/>
        <v>0</v>
      </c>
      <c r="H66" s="419">
        <f t="shared" si="8"/>
        <v>0</v>
      </c>
      <c r="I66" s="419">
        <f t="shared" si="9"/>
        <v>0</v>
      </c>
      <c r="J66" s="419">
        <f t="shared" si="10"/>
        <v>0</v>
      </c>
      <c r="L66" s="419">
        <f t="shared" si="11"/>
        <v>0</v>
      </c>
      <c r="M66" s="419">
        <f t="shared" si="12"/>
        <v>0</v>
      </c>
      <c r="N66" s="419">
        <f t="shared" si="13"/>
        <v>0</v>
      </c>
      <c r="O66" s="419">
        <f t="shared" si="14"/>
        <v>0</v>
      </c>
      <c r="P66" s="419">
        <f t="shared" si="15"/>
        <v>0</v>
      </c>
      <c r="Q66" s="419">
        <f t="shared" si="16"/>
        <v>0</v>
      </c>
    </row>
    <row r="67" spans="2:17">
      <c r="B67" s="399">
        <f t="shared" si="2"/>
        <v>2</v>
      </c>
      <c r="C67" s="417">
        <v>0.59</v>
      </c>
      <c r="D67" s="417">
        <v>0.59</v>
      </c>
      <c r="E67" s="418">
        <f t="shared" ref="E67:E95" si="19">C29*(1+C67)</f>
        <v>3.8233139999999999E-2</v>
      </c>
      <c r="F67" s="418">
        <f t="shared" ref="F67:F95" si="20">C29*(1-D67)</f>
        <v>9.8588600000000005E-3</v>
      </c>
      <c r="G67" s="419">
        <f t="shared" si="7"/>
        <v>0</v>
      </c>
      <c r="H67" s="419">
        <f t="shared" si="8"/>
        <v>0</v>
      </c>
      <c r="I67" s="419">
        <f t="shared" si="9"/>
        <v>0</v>
      </c>
      <c r="J67" s="419">
        <f t="shared" si="10"/>
        <v>0</v>
      </c>
      <c r="L67" s="419">
        <f t="shared" si="11"/>
        <v>0</v>
      </c>
      <c r="M67" s="419">
        <f t="shared" si="12"/>
        <v>0</v>
      </c>
      <c r="N67" s="419">
        <f t="shared" si="13"/>
        <v>0</v>
      </c>
      <c r="O67" s="419">
        <f t="shared" si="14"/>
        <v>0</v>
      </c>
      <c r="P67" s="419">
        <f t="shared" si="15"/>
        <v>0</v>
      </c>
      <c r="Q67" s="419">
        <f t="shared" si="16"/>
        <v>0</v>
      </c>
    </row>
    <row r="68" spans="2:17">
      <c r="B68" s="399">
        <f t="shared" si="2"/>
        <v>3</v>
      </c>
      <c r="C68" s="417">
        <v>0.59</v>
      </c>
      <c r="D68" s="417">
        <v>0.59</v>
      </c>
      <c r="E68" s="418">
        <f t="shared" si="19"/>
        <v>4.9504649999999997E-2</v>
      </c>
      <c r="F68" s="418">
        <f t="shared" si="20"/>
        <v>1.276535E-2</v>
      </c>
      <c r="G68" s="419">
        <f t="shared" si="7"/>
        <v>0</v>
      </c>
      <c r="H68" s="419">
        <f t="shared" si="8"/>
        <v>0</v>
      </c>
      <c r="I68" s="419">
        <f t="shared" si="9"/>
        <v>0</v>
      </c>
      <c r="J68" s="419">
        <f t="shared" si="10"/>
        <v>0</v>
      </c>
      <c r="L68" s="419">
        <f t="shared" si="11"/>
        <v>0</v>
      </c>
      <c r="M68" s="419">
        <f t="shared" si="12"/>
        <v>0</v>
      </c>
      <c r="N68" s="419">
        <f t="shared" si="13"/>
        <v>0</v>
      </c>
      <c r="O68" s="419">
        <f t="shared" si="14"/>
        <v>0</v>
      </c>
      <c r="P68" s="419">
        <f t="shared" si="15"/>
        <v>0</v>
      </c>
      <c r="Q68" s="419">
        <f t="shared" si="16"/>
        <v>0</v>
      </c>
    </row>
    <row r="69" spans="2:17">
      <c r="B69" s="399">
        <f t="shared" si="2"/>
        <v>4</v>
      </c>
      <c r="C69" s="417">
        <v>0.55000000000000004</v>
      </c>
      <c r="D69" s="417">
        <v>0.55000000000000004</v>
      </c>
      <c r="E69" s="418">
        <f t="shared" si="19"/>
        <v>5.2176099999999996E-2</v>
      </c>
      <c r="F69" s="418">
        <f t="shared" si="20"/>
        <v>1.5147899999999997E-2</v>
      </c>
      <c r="G69" s="419">
        <f t="shared" si="7"/>
        <v>0</v>
      </c>
      <c r="H69" s="419">
        <f t="shared" si="8"/>
        <v>0</v>
      </c>
      <c r="I69" s="419">
        <f t="shared" si="9"/>
        <v>0</v>
      </c>
      <c r="J69" s="419">
        <f t="shared" si="10"/>
        <v>0</v>
      </c>
      <c r="L69" s="419">
        <f t="shared" si="11"/>
        <v>0</v>
      </c>
      <c r="M69" s="419">
        <f t="shared" si="12"/>
        <v>0</v>
      </c>
      <c r="N69" s="419">
        <f t="shared" si="13"/>
        <v>0</v>
      </c>
      <c r="O69" s="419">
        <f t="shared" si="14"/>
        <v>0</v>
      </c>
      <c r="P69" s="419">
        <f t="shared" si="15"/>
        <v>0</v>
      </c>
      <c r="Q69" s="419">
        <f t="shared" si="16"/>
        <v>0</v>
      </c>
    </row>
    <row r="70" spans="2:17">
      <c r="B70" s="399">
        <f t="shared" si="2"/>
        <v>5</v>
      </c>
      <c r="C70" s="417">
        <v>0.54</v>
      </c>
      <c r="D70" s="417">
        <v>0.54</v>
      </c>
      <c r="E70" s="418">
        <f t="shared" si="19"/>
        <v>4.4940279999999999E-2</v>
      </c>
      <c r="F70" s="418">
        <f t="shared" si="20"/>
        <v>1.3423719999999998E-2</v>
      </c>
      <c r="G70" s="419">
        <f t="shared" si="7"/>
        <v>0</v>
      </c>
      <c r="H70" s="419">
        <f t="shared" si="8"/>
        <v>0</v>
      </c>
      <c r="I70" s="419">
        <f t="shared" si="9"/>
        <v>0</v>
      </c>
      <c r="J70" s="419">
        <f t="shared" si="10"/>
        <v>0</v>
      </c>
      <c r="L70" s="419">
        <f t="shared" si="11"/>
        <v>0</v>
      </c>
      <c r="M70" s="419">
        <f t="shared" si="12"/>
        <v>0</v>
      </c>
      <c r="N70" s="419">
        <f t="shared" si="13"/>
        <v>0</v>
      </c>
      <c r="O70" s="419">
        <f t="shared" si="14"/>
        <v>0</v>
      </c>
      <c r="P70" s="419">
        <f t="shared" si="15"/>
        <v>0</v>
      </c>
      <c r="Q70" s="419">
        <f t="shared" si="16"/>
        <v>0</v>
      </c>
    </row>
    <row r="71" spans="2:17">
      <c r="B71" s="399">
        <f t="shared" si="2"/>
        <v>6</v>
      </c>
      <c r="C71" s="417">
        <v>0.54</v>
      </c>
      <c r="D71" s="417">
        <v>0.54</v>
      </c>
      <c r="E71" s="418">
        <f t="shared" si="19"/>
        <v>4.5114300000000003E-2</v>
      </c>
      <c r="F71" s="418">
        <f t="shared" si="20"/>
        <v>1.34757E-2</v>
      </c>
      <c r="G71" s="419">
        <f t="shared" si="7"/>
        <v>0</v>
      </c>
      <c r="H71" s="419">
        <f t="shared" si="8"/>
        <v>0</v>
      </c>
      <c r="I71" s="419">
        <f t="shared" si="9"/>
        <v>0</v>
      </c>
      <c r="J71" s="419">
        <f t="shared" si="10"/>
        <v>0</v>
      </c>
      <c r="L71" s="419">
        <f t="shared" si="11"/>
        <v>0</v>
      </c>
      <c r="M71" s="419">
        <f t="shared" si="12"/>
        <v>0</v>
      </c>
      <c r="N71" s="419">
        <f t="shared" si="13"/>
        <v>0</v>
      </c>
      <c r="O71" s="419">
        <f t="shared" si="14"/>
        <v>0</v>
      </c>
      <c r="P71" s="419">
        <f t="shared" si="15"/>
        <v>0</v>
      </c>
      <c r="Q71" s="419">
        <f t="shared" si="16"/>
        <v>0</v>
      </c>
    </row>
    <row r="72" spans="2:17">
      <c r="B72" s="399">
        <f t="shared" si="2"/>
        <v>7</v>
      </c>
      <c r="C72" s="417">
        <v>0.54</v>
      </c>
      <c r="D72" s="417">
        <v>0.54</v>
      </c>
      <c r="E72" s="418">
        <f t="shared" si="19"/>
        <v>4.528832E-2</v>
      </c>
      <c r="F72" s="418">
        <f t="shared" si="20"/>
        <v>1.3527679999999999E-2</v>
      </c>
      <c r="G72" s="419">
        <f t="shared" si="7"/>
        <v>0</v>
      </c>
      <c r="H72" s="419">
        <f t="shared" si="8"/>
        <v>0</v>
      </c>
      <c r="I72" s="419">
        <f t="shared" si="9"/>
        <v>0</v>
      </c>
      <c r="J72" s="419">
        <f t="shared" si="10"/>
        <v>0</v>
      </c>
      <c r="L72" s="419">
        <f t="shared" si="11"/>
        <v>0</v>
      </c>
      <c r="M72" s="419">
        <f t="shared" si="12"/>
        <v>0</v>
      </c>
      <c r="N72" s="419">
        <f t="shared" si="13"/>
        <v>0</v>
      </c>
      <c r="O72" s="419">
        <f t="shared" si="14"/>
        <v>0</v>
      </c>
      <c r="P72" s="419">
        <f t="shared" si="15"/>
        <v>0</v>
      </c>
      <c r="Q72" s="419">
        <f t="shared" si="16"/>
        <v>0</v>
      </c>
    </row>
    <row r="73" spans="2:17">
      <c r="B73" s="399">
        <f t="shared" si="2"/>
        <v>8</v>
      </c>
      <c r="C73" s="417">
        <v>0.54</v>
      </c>
      <c r="D73" s="417">
        <v>0.54</v>
      </c>
      <c r="E73" s="418">
        <f t="shared" si="19"/>
        <v>5.2928259999999998E-2</v>
      </c>
      <c r="F73" s="418">
        <f t="shared" si="20"/>
        <v>1.5809739999999996E-2</v>
      </c>
      <c r="G73" s="419">
        <f t="shared" si="7"/>
        <v>0</v>
      </c>
      <c r="H73" s="419">
        <f t="shared" si="8"/>
        <v>0</v>
      </c>
      <c r="I73" s="419">
        <f t="shared" si="9"/>
        <v>0</v>
      </c>
      <c r="J73" s="419">
        <f t="shared" si="10"/>
        <v>0</v>
      </c>
      <c r="L73" s="419">
        <f t="shared" si="11"/>
        <v>0</v>
      </c>
      <c r="M73" s="419">
        <f t="shared" si="12"/>
        <v>0</v>
      </c>
      <c r="N73" s="419">
        <f t="shared" si="13"/>
        <v>0</v>
      </c>
      <c r="O73" s="419">
        <f t="shared" si="14"/>
        <v>0</v>
      </c>
      <c r="P73" s="419">
        <f t="shared" si="15"/>
        <v>0</v>
      </c>
      <c r="Q73" s="419">
        <f t="shared" si="16"/>
        <v>0</v>
      </c>
    </row>
    <row r="74" spans="2:17">
      <c r="B74" s="399">
        <f t="shared" si="2"/>
        <v>9</v>
      </c>
      <c r="C74" s="417">
        <v>0.54</v>
      </c>
      <c r="D74" s="417">
        <v>0.54</v>
      </c>
      <c r="E74" s="418">
        <f t="shared" si="19"/>
        <v>6.0914700000000002E-2</v>
      </c>
      <c r="F74" s="418">
        <f t="shared" si="20"/>
        <v>1.8195299999999998E-2</v>
      </c>
      <c r="G74" s="419">
        <f t="shared" si="7"/>
        <v>0</v>
      </c>
      <c r="H74" s="419">
        <f t="shared" si="8"/>
        <v>0</v>
      </c>
      <c r="I74" s="419">
        <f t="shared" si="9"/>
        <v>0</v>
      </c>
      <c r="J74" s="419">
        <f t="shared" si="10"/>
        <v>0</v>
      </c>
      <c r="L74" s="419">
        <f t="shared" si="11"/>
        <v>0</v>
      </c>
      <c r="M74" s="419">
        <f t="shared" si="12"/>
        <v>0</v>
      </c>
      <c r="N74" s="419">
        <f t="shared" si="13"/>
        <v>0</v>
      </c>
      <c r="O74" s="419">
        <f t="shared" si="14"/>
        <v>0</v>
      </c>
      <c r="P74" s="419">
        <f t="shared" si="15"/>
        <v>0</v>
      </c>
      <c r="Q74" s="419">
        <f t="shared" si="16"/>
        <v>0</v>
      </c>
    </row>
    <row r="75" spans="2:17">
      <c r="B75" s="399">
        <f t="shared" si="2"/>
        <v>10</v>
      </c>
      <c r="C75" s="417">
        <v>0.54</v>
      </c>
      <c r="D75" s="417">
        <v>0.54</v>
      </c>
      <c r="E75" s="418">
        <f t="shared" si="19"/>
        <v>6.9330799999999998E-2</v>
      </c>
      <c r="F75" s="418">
        <f t="shared" si="20"/>
        <v>2.0709199999999997E-2</v>
      </c>
      <c r="G75" s="419">
        <f t="shared" si="7"/>
        <v>0</v>
      </c>
      <c r="H75" s="419">
        <f t="shared" si="8"/>
        <v>0</v>
      </c>
      <c r="I75" s="419">
        <f t="shared" si="9"/>
        <v>0</v>
      </c>
      <c r="J75" s="419">
        <f t="shared" si="10"/>
        <v>0</v>
      </c>
      <c r="L75" s="419">
        <f t="shared" si="11"/>
        <v>0</v>
      </c>
      <c r="M75" s="419">
        <f t="shared" si="12"/>
        <v>0</v>
      </c>
      <c r="N75" s="419">
        <f t="shared" si="13"/>
        <v>0</v>
      </c>
      <c r="O75" s="419">
        <f t="shared" si="14"/>
        <v>0</v>
      </c>
      <c r="P75" s="419">
        <f t="shared" si="15"/>
        <v>0</v>
      </c>
      <c r="Q75" s="419">
        <f t="shared" si="16"/>
        <v>0</v>
      </c>
    </row>
    <row r="76" spans="2:17">
      <c r="B76" s="399">
        <f t="shared" si="2"/>
        <v>11</v>
      </c>
      <c r="C76" s="417">
        <v>0.51</v>
      </c>
      <c r="D76" s="417">
        <v>0.51</v>
      </c>
      <c r="E76" s="418">
        <f t="shared" si="19"/>
        <v>6.7699339999999997E-2</v>
      </c>
      <c r="F76" s="418">
        <f t="shared" si="20"/>
        <v>2.1968659999999997E-2</v>
      </c>
      <c r="G76" s="419">
        <f t="shared" si="7"/>
        <v>0</v>
      </c>
      <c r="H76" s="419">
        <f t="shared" si="8"/>
        <v>0</v>
      </c>
      <c r="I76" s="419">
        <f t="shared" si="9"/>
        <v>0</v>
      </c>
      <c r="J76" s="419">
        <f t="shared" si="10"/>
        <v>0</v>
      </c>
      <c r="L76" s="419">
        <f t="shared" si="11"/>
        <v>0</v>
      </c>
      <c r="M76" s="419">
        <f t="shared" si="12"/>
        <v>0</v>
      </c>
      <c r="N76" s="419">
        <f t="shared" si="13"/>
        <v>0</v>
      </c>
      <c r="O76" s="419">
        <f t="shared" si="14"/>
        <v>0</v>
      </c>
      <c r="P76" s="419">
        <f t="shared" si="15"/>
        <v>0</v>
      </c>
      <c r="Q76" s="419">
        <f t="shared" si="16"/>
        <v>0</v>
      </c>
    </row>
    <row r="77" spans="2:17">
      <c r="B77" s="399">
        <f t="shared" si="2"/>
        <v>12</v>
      </c>
      <c r="C77" s="417">
        <v>0.51</v>
      </c>
      <c r="D77" s="417">
        <v>0.51</v>
      </c>
      <c r="E77" s="418">
        <f t="shared" si="19"/>
        <v>6.7472840000000006E-2</v>
      </c>
      <c r="F77" s="418">
        <f t="shared" si="20"/>
        <v>2.189516E-2</v>
      </c>
      <c r="G77" s="419">
        <f t="shared" si="7"/>
        <v>0</v>
      </c>
      <c r="H77" s="419">
        <f t="shared" si="8"/>
        <v>0</v>
      </c>
      <c r="I77" s="419">
        <f t="shared" si="9"/>
        <v>0</v>
      </c>
      <c r="J77" s="419">
        <f t="shared" si="10"/>
        <v>0</v>
      </c>
      <c r="L77" s="419">
        <f t="shared" si="11"/>
        <v>0</v>
      </c>
      <c r="M77" s="419">
        <f t="shared" si="12"/>
        <v>0</v>
      </c>
      <c r="N77" s="419">
        <f t="shared" si="13"/>
        <v>0</v>
      </c>
      <c r="O77" s="419">
        <f t="shared" si="14"/>
        <v>0</v>
      </c>
      <c r="P77" s="419">
        <f t="shared" si="15"/>
        <v>0</v>
      </c>
      <c r="Q77" s="419">
        <f t="shared" si="16"/>
        <v>0</v>
      </c>
    </row>
    <row r="78" spans="2:17">
      <c r="B78" s="399">
        <f t="shared" si="2"/>
        <v>13</v>
      </c>
      <c r="C78" s="417">
        <v>0.51</v>
      </c>
      <c r="D78" s="417">
        <v>0.51</v>
      </c>
      <c r="E78" s="418">
        <f t="shared" si="19"/>
        <v>6.7288619999999993E-2</v>
      </c>
      <c r="F78" s="418">
        <f t="shared" si="20"/>
        <v>2.1835379999999998E-2</v>
      </c>
      <c r="G78" s="419">
        <f t="shared" si="7"/>
        <v>0</v>
      </c>
      <c r="H78" s="419">
        <f t="shared" si="8"/>
        <v>0</v>
      </c>
      <c r="I78" s="419">
        <f t="shared" si="9"/>
        <v>0</v>
      </c>
      <c r="J78" s="419">
        <f t="shared" si="10"/>
        <v>0</v>
      </c>
      <c r="L78" s="419">
        <f t="shared" si="11"/>
        <v>0</v>
      </c>
      <c r="M78" s="419">
        <f t="shared" si="12"/>
        <v>0</v>
      </c>
      <c r="N78" s="419">
        <f t="shared" si="13"/>
        <v>0</v>
      </c>
      <c r="O78" s="419">
        <f t="shared" si="14"/>
        <v>0</v>
      </c>
      <c r="P78" s="419">
        <f t="shared" si="15"/>
        <v>0</v>
      </c>
      <c r="Q78" s="419">
        <f t="shared" si="16"/>
        <v>0</v>
      </c>
    </row>
    <row r="79" spans="2:17">
      <c r="B79" s="399">
        <f t="shared" si="2"/>
        <v>14</v>
      </c>
      <c r="C79" s="417">
        <v>0.51</v>
      </c>
      <c r="D79" s="417">
        <v>0.51</v>
      </c>
      <c r="E79" s="418">
        <f t="shared" si="19"/>
        <v>6.7137620000000009E-2</v>
      </c>
      <c r="F79" s="418">
        <f t="shared" si="20"/>
        <v>2.1786380000000001E-2</v>
      </c>
      <c r="G79" s="419">
        <f t="shared" si="7"/>
        <v>0</v>
      </c>
      <c r="H79" s="419">
        <f t="shared" si="8"/>
        <v>0</v>
      </c>
      <c r="I79" s="419">
        <f t="shared" si="9"/>
        <v>0</v>
      </c>
      <c r="J79" s="419">
        <f t="shared" si="10"/>
        <v>0</v>
      </c>
      <c r="L79" s="419">
        <f t="shared" si="11"/>
        <v>0</v>
      </c>
      <c r="M79" s="419">
        <f t="shared" si="12"/>
        <v>0</v>
      </c>
      <c r="N79" s="419">
        <f t="shared" si="13"/>
        <v>0</v>
      </c>
      <c r="O79" s="419">
        <f t="shared" si="14"/>
        <v>0</v>
      </c>
      <c r="P79" s="419">
        <f t="shared" si="15"/>
        <v>0</v>
      </c>
      <c r="Q79" s="419">
        <f t="shared" si="16"/>
        <v>0</v>
      </c>
    </row>
    <row r="80" spans="2:17">
      <c r="B80" s="399">
        <f t="shared" si="2"/>
        <v>15</v>
      </c>
      <c r="C80" s="417">
        <v>0.51</v>
      </c>
      <c r="D80" s="417">
        <v>0.51</v>
      </c>
      <c r="E80" s="418">
        <f t="shared" si="19"/>
        <v>6.7013799999999998E-2</v>
      </c>
      <c r="F80" s="418">
        <f t="shared" si="20"/>
        <v>2.17462E-2</v>
      </c>
      <c r="G80" s="419">
        <f t="shared" si="7"/>
        <v>0</v>
      </c>
      <c r="H80" s="419">
        <f t="shared" si="8"/>
        <v>0</v>
      </c>
      <c r="I80" s="419">
        <f t="shared" si="9"/>
        <v>0</v>
      </c>
      <c r="J80" s="419">
        <f t="shared" si="10"/>
        <v>0</v>
      </c>
      <c r="L80" s="419">
        <f t="shared" si="11"/>
        <v>0</v>
      </c>
      <c r="M80" s="419">
        <f t="shared" si="12"/>
        <v>0</v>
      </c>
      <c r="N80" s="419">
        <f t="shared" si="13"/>
        <v>0</v>
      </c>
      <c r="O80" s="419">
        <f t="shared" si="14"/>
        <v>0</v>
      </c>
      <c r="P80" s="419">
        <f t="shared" si="15"/>
        <v>0</v>
      </c>
      <c r="Q80" s="419">
        <f t="shared" si="16"/>
        <v>0</v>
      </c>
    </row>
    <row r="81" spans="2:17">
      <c r="B81" s="399">
        <f t="shared" si="2"/>
        <v>16</v>
      </c>
      <c r="C81" s="417">
        <v>0.51</v>
      </c>
      <c r="D81" s="417">
        <v>0.51</v>
      </c>
      <c r="E81" s="418">
        <f t="shared" si="19"/>
        <v>6.6911119999999991E-2</v>
      </c>
      <c r="F81" s="418">
        <f t="shared" si="20"/>
        <v>2.1712879999999997E-2</v>
      </c>
      <c r="G81" s="419">
        <f t="shared" si="7"/>
        <v>0</v>
      </c>
      <c r="H81" s="419">
        <f t="shared" si="8"/>
        <v>0</v>
      </c>
      <c r="I81" s="419">
        <f t="shared" si="9"/>
        <v>0</v>
      </c>
      <c r="J81" s="419">
        <f t="shared" si="10"/>
        <v>0</v>
      </c>
      <c r="L81" s="419">
        <f t="shared" si="11"/>
        <v>0</v>
      </c>
      <c r="M81" s="419">
        <f t="shared" si="12"/>
        <v>0</v>
      </c>
      <c r="N81" s="419">
        <f t="shared" si="13"/>
        <v>0</v>
      </c>
      <c r="O81" s="419">
        <f t="shared" si="14"/>
        <v>0</v>
      </c>
      <c r="P81" s="419">
        <f t="shared" si="15"/>
        <v>0</v>
      </c>
      <c r="Q81" s="419">
        <f t="shared" si="16"/>
        <v>0</v>
      </c>
    </row>
    <row r="82" spans="2:17">
      <c r="B82" s="399">
        <f t="shared" si="2"/>
        <v>17</v>
      </c>
      <c r="C82" s="417">
        <v>0.51</v>
      </c>
      <c r="D82" s="417">
        <v>0.51</v>
      </c>
      <c r="E82" s="418">
        <f t="shared" si="19"/>
        <v>6.6828070000000003E-2</v>
      </c>
      <c r="F82" s="418">
        <f t="shared" si="20"/>
        <v>2.1685929999999999E-2</v>
      </c>
      <c r="G82" s="419">
        <f t="shared" si="7"/>
        <v>0</v>
      </c>
      <c r="H82" s="419">
        <f t="shared" si="8"/>
        <v>0</v>
      </c>
      <c r="I82" s="419">
        <f t="shared" si="9"/>
        <v>0</v>
      </c>
      <c r="J82" s="419">
        <f t="shared" si="10"/>
        <v>0</v>
      </c>
      <c r="L82" s="419">
        <f t="shared" si="11"/>
        <v>0</v>
      </c>
      <c r="M82" s="419">
        <f t="shared" si="12"/>
        <v>0</v>
      </c>
      <c r="N82" s="419">
        <f t="shared" si="13"/>
        <v>0</v>
      </c>
      <c r="O82" s="419">
        <f t="shared" si="14"/>
        <v>0</v>
      </c>
      <c r="P82" s="419">
        <f t="shared" si="15"/>
        <v>0</v>
      </c>
      <c r="Q82" s="419">
        <f t="shared" si="16"/>
        <v>0</v>
      </c>
    </row>
    <row r="83" spans="2:17">
      <c r="B83" s="399">
        <f t="shared" si="2"/>
        <v>18</v>
      </c>
      <c r="C83" s="417">
        <v>0.51</v>
      </c>
      <c r="D83" s="417">
        <v>0.51</v>
      </c>
      <c r="E83" s="418">
        <f t="shared" si="19"/>
        <v>6.6760120000000006E-2</v>
      </c>
      <c r="F83" s="418">
        <f t="shared" si="20"/>
        <v>2.166388E-2</v>
      </c>
      <c r="G83" s="419">
        <f t="shared" si="7"/>
        <v>0</v>
      </c>
      <c r="H83" s="419">
        <f t="shared" si="8"/>
        <v>0</v>
      </c>
      <c r="I83" s="419">
        <f t="shared" si="9"/>
        <v>0</v>
      </c>
      <c r="J83" s="419">
        <f t="shared" si="10"/>
        <v>0</v>
      </c>
      <c r="L83" s="419">
        <f t="shared" si="11"/>
        <v>0</v>
      </c>
      <c r="M83" s="419">
        <f t="shared" si="12"/>
        <v>0</v>
      </c>
      <c r="N83" s="419">
        <f t="shared" si="13"/>
        <v>0</v>
      </c>
      <c r="O83" s="419">
        <f t="shared" si="14"/>
        <v>0</v>
      </c>
      <c r="P83" s="419">
        <f t="shared" si="15"/>
        <v>0</v>
      </c>
      <c r="Q83" s="419">
        <f t="shared" si="16"/>
        <v>0</v>
      </c>
    </row>
    <row r="84" spans="2:17">
      <c r="B84" s="399">
        <f t="shared" si="2"/>
        <v>19</v>
      </c>
      <c r="C84" s="417">
        <v>0.51</v>
      </c>
      <c r="D84" s="417">
        <v>0.51</v>
      </c>
      <c r="E84" s="418">
        <f t="shared" si="19"/>
        <v>6.6704249999999993E-2</v>
      </c>
      <c r="F84" s="418">
        <f t="shared" si="20"/>
        <v>2.1645749999999998E-2</v>
      </c>
      <c r="G84" s="419">
        <f t="shared" si="7"/>
        <v>0</v>
      </c>
      <c r="H84" s="419">
        <f t="shared" si="8"/>
        <v>0</v>
      </c>
      <c r="I84" s="419">
        <f t="shared" si="9"/>
        <v>0</v>
      </c>
      <c r="J84" s="419">
        <f t="shared" si="10"/>
        <v>0</v>
      </c>
      <c r="L84" s="419">
        <f t="shared" si="11"/>
        <v>0</v>
      </c>
      <c r="M84" s="419">
        <f t="shared" si="12"/>
        <v>0</v>
      </c>
      <c r="N84" s="419">
        <f t="shared" si="13"/>
        <v>0</v>
      </c>
      <c r="O84" s="419">
        <f t="shared" si="14"/>
        <v>0</v>
      </c>
      <c r="P84" s="419">
        <f t="shared" si="15"/>
        <v>0</v>
      </c>
      <c r="Q84" s="419">
        <f t="shared" si="16"/>
        <v>0</v>
      </c>
    </row>
    <row r="85" spans="2:17">
      <c r="B85" s="399">
        <f t="shared" si="2"/>
        <v>20</v>
      </c>
      <c r="C85" s="417">
        <v>0.51</v>
      </c>
      <c r="D85" s="417">
        <v>0.51</v>
      </c>
      <c r="E85" s="418">
        <f t="shared" si="19"/>
        <v>6.6661970000000001E-2</v>
      </c>
      <c r="F85" s="418">
        <f t="shared" si="20"/>
        <v>2.163203E-2</v>
      </c>
      <c r="G85" s="419">
        <f t="shared" si="7"/>
        <v>0</v>
      </c>
      <c r="H85" s="419">
        <f t="shared" si="8"/>
        <v>0</v>
      </c>
      <c r="I85" s="419">
        <f t="shared" si="9"/>
        <v>0</v>
      </c>
      <c r="J85" s="419">
        <f t="shared" si="10"/>
        <v>0</v>
      </c>
      <c r="L85" s="419">
        <f t="shared" si="11"/>
        <v>0</v>
      </c>
      <c r="M85" s="419">
        <f t="shared" si="12"/>
        <v>0</v>
      </c>
      <c r="N85" s="419">
        <f t="shared" si="13"/>
        <v>0</v>
      </c>
      <c r="O85" s="419">
        <f t="shared" si="14"/>
        <v>0</v>
      </c>
      <c r="P85" s="419">
        <f t="shared" si="15"/>
        <v>0</v>
      </c>
      <c r="Q85" s="419">
        <f t="shared" si="16"/>
        <v>0</v>
      </c>
    </row>
    <row r="86" spans="2:17">
      <c r="B86" s="399">
        <f t="shared" si="2"/>
        <v>21</v>
      </c>
      <c r="C86" s="417">
        <v>0.51</v>
      </c>
      <c r="D86" s="417">
        <v>0.51</v>
      </c>
      <c r="E86" s="418">
        <f t="shared" si="19"/>
        <v>8.8896719999999999E-2</v>
      </c>
      <c r="F86" s="418">
        <f t="shared" si="20"/>
        <v>2.8847279999999999E-2</v>
      </c>
      <c r="G86" s="419">
        <f t="shared" si="7"/>
        <v>0</v>
      </c>
      <c r="H86" s="419">
        <f t="shared" si="8"/>
        <v>0</v>
      </c>
      <c r="I86" s="419">
        <f t="shared" si="9"/>
        <v>0</v>
      </c>
      <c r="J86" s="419">
        <f t="shared" si="10"/>
        <v>0</v>
      </c>
      <c r="L86" s="419">
        <f t="shared" si="11"/>
        <v>0</v>
      </c>
      <c r="M86" s="419">
        <f t="shared" si="12"/>
        <v>0</v>
      </c>
      <c r="N86" s="419">
        <f t="shared" si="13"/>
        <v>0</v>
      </c>
      <c r="O86" s="419">
        <f t="shared" si="14"/>
        <v>0</v>
      </c>
      <c r="P86" s="419">
        <f t="shared" si="15"/>
        <v>0</v>
      </c>
      <c r="Q86" s="419">
        <f t="shared" si="16"/>
        <v>0</v>
      </c>
    </row>
    <row r="87" spans="2:17">
      <c r="B87" s="399">
        <f t="shared" si="2"/>
        <v>22</v>
      </c>
      <c r="C87" s="417">
        <v>0.51</v>
      </c>
      <c r="D87" s="417">
        <v>0.51</v>
      </c>
      <c r="E87" s="418">
        <f t="shared" si="19"/>
        <v>8.8331980000000004E-2</v>
      </c>
      <c r="F87" s="418">
        <f t="shared" si="20"/>
        <v>2.8664020000000002E-2</v>
      </c>
      <c r="G87" s="419">
        <f t="shared" si="7"/>
        <v>0</v>
      </c>
      <c r="H87" s="419">
        <f t="shared" si="8"/>
        <v>0</v>
      </c>
      <c r="I87" s="419">
        <f t="shared" si="9"/>
        <v>0</v>
      </c>
      <c r="J87" s="419">
        <f t="shared" si="10"/>
        <v>0</v>
      </c>
      <c r="L87" s="419">
        <f t="shared" si="11"/>
        <v>0</v>
      </c>
      <c r="M87" s="419">
        <f t="shared" si="12"/>
        <v>0</v>
      </c>
      <c r="N87" s="419">
        <f t="shared" si="13"/>
        <v>0</v>
      </c>
      <c r="O87" s="419">
        <f t="shared" si="14"/>
        <v>0</v>
      </c>
      <c r="P87" s="419">
        <f t="shared" si="15"/>
        <v>0</v>
      </c>
      <c r="Q87" s="419">
        <f t="shared" si="16"/>
        <v>0</v>
      </c>
    </row>
    <row r="88" spans="2:17">
      <c r="B88" s="399">
        <f t="shared" si="2"/>
        <v>23</v>
      </c>
      <c r="C88" s="417">
        <v>0.51</v>
      </c>
      <c r="D88" s="417">
        <v>0.51</v>
      </c>
      <c r="E88" s="418">
        <f t="shared" si="19"/>
        <v>8.7817069999999997E-2</v>
      </c>
      <c r="F88" s="418">
        <f t="shared" si="20"/>
        <v>2.849693E-2</v>
      </c>
      <c r="G88" s="419">
        <f t="shared" si="7"/>
        <v>0</v>
      </c>
      <c r="H88" s="419">
        <f t="shared" si="8"/>
        <v>0</v>
      </c>
      <c r="I88" s="419">
        <f t="shared" si="9"/>
        <v>0</v>
      </c>
      <c r="J88" s="419">
        <f t="shared" si="10"/>
        <v>0</v>
      </c>
      <c r="L88" s="419">
        <f t="shared" si="11"/>
        <v>0</v>
      </c>
      <c r="M88" s="419">
        <f t="shared" si="12"/>
        <v>0</v>
      </c>
      <c r="N88" s="419">
        <f t="shared" si="13"/>
        <v>0</v>
      </c>
      <c r="O88" s="419">
        <f t="shared" si="14"/>
        <v>0</v>
      </c>
      <c r="P88" s="419">
        <f t="shared" si="15"/>
        <v>0</v>
      </c>
      <c r="Q88" s="419">
        <f t="shared" si="16"/>
        <v>0</v>
      </c>
    </row>
    <row r="89" spans="2:17">
      <c r="B89" s="399">
        <f t="shared" si="2"/>
        <v>24</v>
      </c>
      <c r="C89" s="417">
        <v>0.51</v>
      </c>
      <c r="D89" s="417">
        <v>0.51</v>
      </c>
      <c r="E89" s="418">
        <f t="shared" si="19"/>
        <v>8.7344439999999995E-2</v>
      </c>
      <c r="F89" s="418">
        <f t="shared" si="20"/>
        <v>2.834356E-2</v>
      </c>
      <c r="G89" s="419">
        <f t="shared" si="7"/>
        <v>0</v>
      </c>
      <c r="H89" s="419">
        <f t="shared" si="8"/>
        <v>0</v>
      </c>
      <c r="I89" s="419">
        <f t="shared" si="9"/>
        <v>0</v>
      </c>
      <c r="J89" s="419">
        <f t="shared" si="10"/>
        <v>0</v>
      </c>
      <c r="L89" s="419">
        <f t="shared" si="11"/>
        <v>0</v>
      </c>
      <c r="M89" s="419">
        <f t="shared" si="12"/>
        <v>0</v>
      </c>
      <c r="N89" s="419">
        <f t="shared" si="13"/>
        <v>0</v>
      </c>
      <c r="O89" s="419">
        <f t="shared" si="14"/>
        <v>0</v>
      </c>
      <c r="P89" s="419">
        <f t="shared" si="15"/>
        <v>0</v>
      </c>
      <c r="Q89" s="419">
        <f t="shared" si="16"/>
        <v>0</v>
      </c>
    </row>
    <row r="90" spans="2:17">
      <c r="B90" s="399">
        <f t="shared" si="2"/>
        <v>25</v>
      </c>
      <c r="C90" s="417">
        <v>0.51</v>
      </c>
      <c r="D90" s="417">
        <v>0.51</v>
      </c>
      <c r="E90" s="418">
        <f t="shared" si="19"/>
        <v>8.6911069999999993E-2</v>
      </c>
      <c r="F90" s="418">
        <f t="shared" si="20"/>
        <v>2.8202929999999998E-2</v>
      </c>
      <c r="G90" s="419">
        <f t="shared" si="7"/>
        <v>0</v>
      </c>
      <c r="H90" s="419">
        <f t="shared" si="8"/>
        <v>0</v>
      </c>
      <c r="I90" s="419">
        <f t="shared" si="9"/>
        <v>0</v>
      </c>
      <c r="J90" s="419">
        <f t="shared" si="10"/>
        <v>0</v>
      </c>
      <c r="L90" s="419">
        <f t="shared" si="11"/>
        <v>0</v>
      </c>
      <c r="M90" s="419">
        <f t="shared" si="12"/>
        <v>0</v>
      </c>
      <c r="N90" s="419">
        <f t="shared" si="13"/>
        <v>0</v>
      </c>
      <c r="O90" s="419">
        <f t="shared" si="14"/>
        <v>0</v>
      </c>
      <c r="P90" s="419">
        <f t="shared" si="15"/>
        <v>0</v>
      </c>
      <c r="Q90" s="419">
        <f t="shared" si="16"/>
        <v>0</v>
      </c>
    </row>
    <row r="91" spans="2:17">
      <c r="B91" s="399">
        <f t="shared" si="2"/>
        <v>26</v>
      </c>
      <c r="C91" s="417">
        <v>0.51</v>
      </c>
      <c r="D91" s="417">
        <v>0.51</v>
      </c>
      <c r="E91" s="418">
        <f t="shared" si="19"/>
        <v>8.6509410000000009E-2</v>
      </c>
      <c r="F91" s="418">
        <f t="shared" si="20"/>
        <v>2.8072590000000001E-2</v>
      </c>
      <c r="G91" s="419">
        <f t="shared" si="7"/>
        <v>0</v>
      </c>
      <c r="H91" s="419">
        <f t="shared" si="8"/>
        <v>0</v>
      </c>
      <c r="I91" s="419">
        <f t="shared" si="9"/>
        <v>0</v>
      </c>
      <c r="J91" s="419">
        <f t="shared" si="10"/>
        <v>0</v>
      </c>
      <c r="L91" s="419">
        <f t="shared" si="11"/>
        <v>0</v>
      </c>
      <c r="M91" s="419">
        <f t="shared" si="12"/>
        <v>0</v>
      </c>
      <c r="N91" s="419">
        <f t="shared" si="13"/>
        <v>0</v>
      </c>
      <c r="O91" s="419">
        <f t="shared" si="14"/>
        <v>0</v>
      </c>
      <c r="P91" s="419">
        <f t="shared" si="15"/>
        <v>0</v>
      </c>
      <c r="Q91" s="419">
        <f t="shared" si="16"/>
        <v>0</v>
      </c>
    </row>
    <row r="92" spans="2:17">
      <c r="B92" s="399">
        <f t="shared" si="2"/>
        <v>27</v>
      </c>
      <c r="C92" s="417">
        <v>0.51</v>
      </c>
      <c r="D92" s="417">
        <v>0.51</v>
      </c>
      <c r="E92" s="418">
        <f t="shared" si="19"/>
        <v>8.6137950000000005E-2</v>
      </c>
      <c r="F92" s="418">
        <f t="shared" si="20"/>
        <v>2.7952049999999999E-2</v>
      </c>
      <c r="G92" s="419">
        <f t="shared" si="7"/>
        <v>0</v>
      </c>
      <c r="H92" s="419">
        <f t="shared" si="8"/>
        <v>0</v>
      </c>
      <c r="I92" s="419">
        <f t="shared" si="9"/>
        <v>0</v>
      </c>
      <c r="J92" s="419">
        <f t="shared" si="10"/>
        <v>0</v>
      </c>
      <c r="L92" s="419">
        <f t="shared" si="11"/>
        <v>0</v>
      </c>
      <c r="M92" s="419">
        <f t="shared" si="12"/>
        <v>0</v>
      </c>
      <c r="N92" s="419">
        <f t="shared" si="13"/>
        <v>0</v>
      </c>
      <c r="O92" s="419">
        <f t="shared" si="14"/>
        <v>0</v>
      </c>
      <c r="P92" s="419">
        <f t="shared" si="15"/>
        <v>0</v>
      </c>
      <c r="Q92" s="419">
        <f t="shared" si="16"/>
        <v>0</v>
      </c>
    </row>
    <row r="93" spans="2:17">
      <c r="B93" s="399">
        <f t="shared" si="2"/>
        <v>28</v>
      </c>
      <c r="C93" s="417">
        <v>0.51</v>
      </c>
      <c r="D93" s="417">
        <v>0.51</v>
      </c>
      <c r="E93" s="418">
        <f t="shared" si="19"/>
        <v>8.5793670000000002E-2</v>
      </c>
      <c r="F93" s="418">
        <f t="shared" si="20"/>
        <v>2.784033E-2</v>
      </c>
      <c r="G93" s="419">
        <f t="shared" si="7"/>
        <v>0</v>
      </c>
      <c r="H93" s="419">
        <f t="shared" si="8"/>
        <v>0</v>
      </c>
      <c r="I93" s="419">
        <f t="shared" si="9"/>
        <v>0</v>
      </c>
      <c r="J93" s="419">
        <f t="shared" si="10"/>
        <v>0</v>
      </c>
      <c r="L93" s="419">
        <f t="shared" si="11"/>
        <v>0</v>
      </c>
      <c r="M93" s="419">
        <f t="shared" si="12"/>
        <v>0</v>
      </c>
      <c r="N93" s="419">
        <f t="shared" si="13"/>
        <v>0</v>
      </c>
      <c r="O93" s="419">
        <f t="shared" si="14"/>
        <v>0</v>
      </c>
      <c r="P93" s="419">
        <f t="shared" si="15"/>
        <v>0</v>
      </c>
      <c r="Q93" s="419">
        <f t="shared" si="16"/>
        <v>0</v>
      </c>
    </row>
    <row r="94" spans="2:17">
      <c r="B94" s="399">
        <f t="shared" si="2"/>
        <v>29</v>
      </c>
      <c r="C94" s="417">
        <v>0.51</v>
      </c>
      <c r="D94" s="417">
        <v>0.51</v>
      </c>
      <c r="E94" s="418">
        <f t="shared" si="19"/>
        <v>8.5473550000000009E-2</v>
      </c>
      <c r="F94" s="418">
        <f t="shared" si="20"/>
        <v>2.7736449999999999E-2</v>
      </c>
      <c r="G94" s="419">
        <f t="shared" si="7"/>
        <v>0</v>
      </c>
      <c r="H94" s="419">
        <f t="shared" si="8"/>
        <v>0</v>
      </c>
      <c r="I94" s="419">
        <f t="shared" si="9"/>
        <v>0</v>
      </c>
      <c r="J94" s="419">
        <f t="shared" si="10"/>
        <v>0</v>
      </c>
      <c r="L94" s="419">
        <f t="shared" si="11"/>
        <v>0</v>
      </c>
      <c r="M94" s="419">
        <f t="shared" si="12"/>
        <v>0</v>
      </c>
      <c r="N94" s="419">
        <f t="shared" si="13"/>
        <v>0</v>
      </c>
      <c r="O94" s="419">
        <f t="shared" si="14"/>
        <v>0</v>
      </c>
      <c r="P94" s="419">
        <f t="shared" si="15"/>
        <v>0</v>
      </c>
      <c r="Q94" s="419">
        <f t="shared" si="16"/>
        <v>0</v>
      </c>
    </row>
    <row r="95" spans="2:17">
      <c r="B95" s="403">
        <f t="shared" si="2"/>
        <v>30</v>
      </c>
      <c r="C95" s="518">
        <v>0.51</v>
      </c>
      <c r="D95" s="518">
        <v>0.51</v>
      </c>
      <c r="E95" s="420">
        <f t="shared" si="19"/>
        <v>8.5174570000000005E-2</v>
      </c>
      <c r="F95" s="420">
        <f t="shared" si="20"/>
        <v>2.763943E-2</v>
      </c>
      <c r="G95" s="421">
        <f t="shared" si="7"/>
        <v>0</v>
      </c>
      <c r="H95" s="419">
        <f t="shared" si="8"/>
        <v>0</v>
      </c>
      <c r="I95" s="419">
        <f t="shared" si="9"/>
        <v>0</v>
      </c>
      <c r="J95" s="419">
        <f t="shared" si="10"/>
        <v>0</v>
      </c>
      <c r="L95" s="419">
        <f t="shared" si="11"/>
        <v>0</v>
      </c>
      <c r="M95" s="419">
        <f t="shared" si="12"/>
        <v>0</v>
      </c>
      <c r="N95" s="419">
        <f t="shared" si="13"/>
        <v>0</v>
      </c>
      <c r="O95" s="419">
        <f t="shared" si="14"/>
        <v>0</v>
      </c>
      <c r="P95" s="419">
        <f t="shared" si="15"/>
        <v>0</v>
      </c>
      <c r="Q95" s="419">
        <f t="shared" si="16"/>
        <v>0</v>
      </c>
    </row>
    <row r="97" spans="2:17" ht="14.45" customHeight="1">
      <c r="B97" s="180" t="s">
        <v>114</v>
      </c>
    </row>
    <row r="98" spans="2:17" s="38" customFormat="1" ht="15" customHeight="1">
      <c r="G98" s="382" t="s">
        <v>266</v>
      </c>
      <c r="H98" s="383"/>
      <c r="I98" s="383"/>
      <c r="J98" s="384"/>
      <c r="L98" s="422" t="s">
        <v>381</v>
      </c>
      <c r="M98" s="422"/>
      <c r="N98" s="422"/>
      <c r="O98" s="422" t="s">
        <v>87</v>
      </c>
      <c r="P98" s="422"/>
      <c r="Q98" s="422"/>
    </row>
    <row r="99" spans="2:17" ht="30">
      <c r="B99" s="386" t="s">
        <v>33</v>
      </c>
      <c r="C99" s="386" t="s">
        <v>150</v>
      </c>
      <c r="D99" s="386" t="s">
        <v>25</v>
      </c>
      <c r="E99" s="386" t="s">
        <v>112</v>
      </c>
      <c r="F99" s="386" t="s">
        <v>113</v>
      </c>
      <c r="G99" s="386" t="s">
        <v>148</v>
      </c>
      <c r="H99" s="386" t="s">
        <v>88</v>
      </c>
      <c r="I99" s="386" t="s">
        <v>26</v>
      </c>
      <c r="J99" s="386" t="s">
        <v>27</v>
      </c>
      <c r="L99" s="386" t="s">
        <v>88</v>
      </c>
      <c r="M99" s="386" t="s">
        <v>26</v>
      </c>
      <c r="N99" s="386" t="s">
        <v>27</v>
      </c>
      <c r="O99" s="386" t="s">
        <v>88</v>
      </c>
      <c r="P99" s="386" t="s">
        <v>26</v>
      </c>
      <c r="Q99" s="386" t="s">
        <v>27</v>
      </c>
    </row>
    <row r="100" spans="2:17">
      <c r="B100" s="409" t="s">
        <v>22</v>
      </c>
      <c r="C100" s="410"/>
      <c r="D100" s="410"/>
      <c r="E100" s="410"/>
      <c r="F100" s="411"/>
      <c r="G100" s="412">
        <f>SUM(G101:G133)</f>
        <v>0</v>
      </c>
      <c r="H100" s="412">
        <f>SUM(H101:H133)</f>
        <v>0</v>
      </c>
      <c r="I100" s="412">
        <f>SUM(I101:I133)</f>
        <v>0</v>
      </c>
      <c r="J100" s="412">
        <f>SUM(J101:J133)</f>
        <v>0</v>
      </c>
      <c r="K100" s="413"/>
      <c r="L100" s="412">
        <f t="shared" ref="L100:Q100" si="21">SUM(L101:L133)</f>
        <v>0</v>
      </c>
      <c r="M100" s="412">
        <f t="shared" si="21"/>
        <v>0</v>
      </c>
      <c r="N100" s="412">
        <f t="shared" si="21"/>
        <v>0</v>
      </c>
      <c r="O100" s="412">
        <f t="shared" si="21"/>
        <v>0</v>
      </c>
      <c r="P100" s="412">
        <f t="shared" si="21"/>
        <v>0</v>
      </c>
      <c r="Q100" s="412">
        <f t="shared" si="21"/>
        <v>0</v>
      </c>
    </row>
    <row r="101" spans="2:17">
      <c r="B101" s="390">
        <f t="shared" ref="B101:B133" si="22">B25</f>
        <v>0.25</v>
      </c>
      <c r="C101" s="423">
        <f t="shared" ref="C101:C133" si="23">C25+$G$19/10000</f>
        <v>2.0094499999999994E-2</v>
      </c>
      <c r="D101" s="424" t="str">
        <f>E25</f>
        <v>0 &lt; X ≤ 3 months</v>
      </c>
      <c r="E101" s="415">
        <f>C101*(1+C63)</f>
        <v>5.7872159999999978E-2</v>
      </c>
      <c r="F101" s="415">
        <f>C101*(1-D63)</f>
        <v>0</v>
      </c>
      <c r="G101" s="416">
        <f>G63</f>
        <v>0</v>
      </c>
      <c r="H101" s="416">
        <f>((G101-G25)*((1+C101)^(-(B101)/2)))+(G25*((1+C25)^(-(B101)/2)))</f>
        <v>0</v>
      </c>
      <c r="I101" s="416">
        <f>((G101-G25)*((1+E101)^(-(B101)/2)))+(G25*((1+E63)^(-(B101)/2)))</f>
        <v>0</v>
      </c>
      <c r="J101" s="416">
        <f>((G101-G25)*((1+F101)^(-(B101)/2)))+(G25*((1+F63)^(-(B101)/2)))</f>
        <v>0</v>
      </c>
      <c r="L101" s="416">
        <f>L63</f>
        <v>0</v>
      </c>
      <c r="M101" s="416">
        <f t="shared" ref="M101:Q101" si="24">M63</f>
        <v>0</v>
      </c>
      <c r="N101" s="416">
        <f t="shared" si="24"/>
        <v>0</v>
      </c>
      <c r="O101" s="416">
        <f t="shared" si="24"/>
        <v>0</v>
      </c>
      <c r="P101" s="416">
        <f t="shared" si="24"/>
        <v>0</v>
      </c>
      <c r="Q101" s="416">
        <f t="shared" si="24"/>
        <v>0</v>
      </c>
    </row>
    <row r="102" spans="2:17">
      <c r="B102" s="399">
        <f t="shared" si="22"/>
        <v>0.5</v>
      </c>
      <c r="C102" s="391">
        <f t="shared" si="23"/>
        <v>2.0658999999999997E-2</v>
      </c>
      <c r="D102" s="425" t="str">
        <f>E26</f>
        <v>3 &lt; X ≤ 6 months</v>
      </c>
      <c r="E102" s="418">
        <f>C102*(1+C64)</f>
        <v>5.557270999999999E-2</v>
      </c>
      <c r="F102" s="418">
        <f>C102*(1-D64)</f>
        <v>0</v>
      </c>
      <c r="G102" s="419">
        <f t="shared" ref="G102:G133" si="25">G64</f>
        <v>0</v>
      </c>
      <c r="H102" s="419">
        <f>((G102-G26)*((1+C102)^(-(B102+B101)/2)))+(G26*((1+C26)^(-(B102+B101)/2)))</f>
        <v>0</v>
      </c>
      <c r="I102" s="419">
        <f>((G102-G26)*((1+E102)^(-(B102+B101)/2)))+(G26*((1+E64)^(-(B102+B101)/2)))</f>
        <v>0</v>
      </c>
      <c r="J102" s="419">
        <f>((G102-G26)*((1+F102)^(-(B102+B101)/2)))+(G26*((1+F64)^(-(B102+B101)/2)))</f>
        <v>0</v>
      </c>
      <c r="L102" s="419">
        <f t="shared" ref="L102:Q102" si="26">L64</f>
        <v>0</v>
      </c>
      <c r="M102" s="419">
        <f t="shared" si="26"/>
        <v>0</v>
      </c>
      <c r="N102" s="419">
        <f t="shared" si="26"/>
        <v>0</v>
      </c>
      <c r="O102" s="419">
        <f t="shared" si="26"/>
        <v>0</v>
      </c>
      <c r="P102" s="419">
        <f t="shared" si="26"/>
        <v>0</v>
      </c>
      <c r="Q102" s="419">
        <f t="shared" si="26"/>
        <v>0</v>
      </c>
    </row>
    <row r="103" spans="2:17">
      <c r="B103" s="399">
        <f t="shared" si="22"/>
        <v>0.75</v>
      </c>
      <c r="C103" s="391">
        <f t="shared" si="23"/>
        <v>2.1223499999999999E-2</v>
      </c>
      <c r="D103" s="425" t="str">
        <f>E27</f>
        <v>6 &lt; X ≤ 9 months</v>
      </c>
      <c r="E103" s="418">
        <f>C103*(1+C65)</f>
        <v>5.3483219999999998E-2</v>
      </c>
      <c r="F103" s="418">
        <f>C103*(1-D65)</f>
        <v>0</v>
      </c>
      <c r="G103" s="419">
        <f t="shared" si="25"/>
        <v>0</v>
      </c>
      <c r="H103" s="419">
        <f t="shared" ref="H103:H133" si="27">((G103-G27)*((1+C103)^(-(B103+B102)/2)))+(G27*((1+C27)^(-(B103+B102)/2)))</f>
        <v>0</v>
      </c>
      <c r="I103" s="419">
        <f t="shared" ref="I103:I133" si="28">((G103-G27)*((1+E103)^(-(B103+B102)/2)))+(G27*((1+E65)^(-(B103+B102)/2)))</f>
        <v>0</v>
      </c>
      <c r="J103" s="419">
        <f t="shared" ref="J103:J133" si="29">((G103-G27)*((1+F103)^(-(B103+B102)/2)))+(G27*((1+F65)^(-(B103+B102)/2)))</f>
        <v>0</v>
      </c>
      <c r="L103" s="419">
        <f t="shared" ref="L103:Q103" si="30">L65</f>
        <v>0</v>
      </c>
      <c r="M103" s="419">
        <f t="shared" si="30"/>
        <v>0</v>
      </c>
      <c r="N103" s="419">
        <f t="shared" si="30"/>
        <v>0</v>
      </c>
      <c r="O103" s="419">
        <f t="shared" si="30"/>
        <v>0</v>
      </c>
      <c r="P103" s="419">
        <f t="shared" si="30"/>
        <v>0</v>
      </c>
      <c r="Q103" s="419">
        <f t="shared" si="30"/>
        <v>0</v>
      </c>
    </row>
    <row r="104" spans="2:17">
      <c r="B104" s="399">
        <f t="shared" si="22"/>
        <v>1</v>
      </c>
      <c r="C104" s="391">
        <f t="shared" si="23"/>
        <v>2.1787999999999998E-2</v>
      </c>
      <c r="D104" s="425" t="str">
        <f t="shared" ref="D104" si="31">E28</f>
        <v>9 &lt; X ≤ 12 months</v>
      </c>
      <c r="E104" s="418">
        <f t="shared" ref="E104" si="32">C104*(1+C66)</f>
        <v>5.1201799999999999E-2</v>
      </c>
      <c r="F104" s="418">
        <f t="shared" ref="F104" si="33">C104*(1-D66)</f>
        <v>0</v>
      </c>
      <c r="G104" s="419">
        <f t="shared" si="25"/>
        <v>0</v>
      </c>
      <c r="H104" s="419">
        <f t="shared" si="27"/>
        <v>0</v>
      </c>
      <c r="I104" s="419">
        <f t="shared" si="28"/>
        <v>0</v>
      </c>
      <c r="J104" s="419">
        <f t="shared" si="29"/>
        <v>0</v>
      </c>
      <c r="L104" s="419">
        <f t="shared" ref="L104:Q104" si="34">L66</f>
        <v>0</v>
      </c>
      <c r="M104" s="419">
        <f t="shared" si="34"/>
        <v>0</v>
      </c>
      <c r="N104" s="419">
        <f t="shared" si="34"/>
        <v>0</v>
      </c>
      <c r="O104" s="419">
        <f t="shared" si="34"/>
        <v>0</v>
      </c>
      <c r="P104" s="419">
        <f t="shared" si="34"/>
        <v>0</v>
      </c>
      <c r="Q104" s="419">
        <f t="shared" si="34"/>
        <v>0</v>
      </c>
    </row>
    <row r="105" spans="2:17">
      <c r="B105" s="399">
        <f t="shared" si="22"/>
        <v>2</v>
      </c>
      <c r="C105" s="391">
        <f t="shared" si="23"/>
        <v>2.4046000000000001E-2</v>
      </c>
      <c r="D105" s="425" t="str">
        <f t="shared" ref="D105:D133" si="35">E29</f>
        <v>1 &lt; X ≤ 2 years</v>
      </c>
      <c r="E105" s="418">
        <f t="shared" ref="E105:E133" si="36">C105*(1+C67)</f>
        <v>3.8233139999999999E-2</v>
      </c>
      <c r="F105" s="418">
        <f t="shared" ref="F105:F133" si="37">C105*(1-D67)</f>
        <v>9.8588600000000005E-3</v>
      </c>
      <c r="G105" s="419">
        <f t="shared" si="25"/>
        <v>0</v>
      </c>
      <c r="H105" s="419">
        <f t="shared" si="27"/>
        <v>0</v>
      </c>
      <c r="I105" s="419">
        <f t="shared" si="28"/>
        <v>0</v>
      </c>
      <c r="J105" s="419">
        <f t="shared" si="29"/>
        <v>0</v>
      </c>
      <c r="L105" s="419">
        <f t="shared" ref="L105:Q105" si="38">L67</f>
        <v>0</v>
      </c>
      <c r="M105" s="419">
        <f t="shared" si="38"/>
        <v>0</v>
      </c>
      <c r="N105" s="419">
        <f t="shared" si="38"/>
        <v>0</v>
      </c>
      <c r="O105" s="419">
        <f t="shared" si="38"/>
        <v>0</v>
      </c>
      <c r="P105" s="419">
        <f t="shared" si="38"/>
        <v>0</v>
      </c>
      <c r="Q105" s="419">
        <f t="shared" si="38"/>
        <v>0</v>
      </c>
    </row>
    <row r="106" spans="2:17">
      <c r="B106" s="399">
        <f t="shared" si="22"/>
        <v>3</v>
      </c>
      <c r="C106" s="391">
        <f t="shared" si="23"/>
        <v>3.1134999999999999E-2</v>
      </c>
      <c r="D106" s="425" t="str">
        <f t="shared" si="35"/>
        <v>2 &lt; X ≤ 3 years</v>
      </c>
      <c r="E106" s="418">
        <f t="shared" si="36"/>
        <v>4.9504649999999997E-2</v>
      </c>
      <c r="F106" s="418">
        <f t="shared" si="37"/>
        <v>1.276535E-2</v>
      </c>
      <c r="G106" s="419">
        <f t="shared" si="25"/>
        <v>0</v>
      </c>
      <c r="H106" s="419">
        <f t="shared" si="27"/>
        <v>0</v>
      </c>
      <c r="I106" s="419">
        <f t="shared" si="28"/>
        <v>0</v>
      </c>
      <c r="J106" s="419">
        <f t="shared" si="29"/>
        <v>0</v>
      </c>
      <c r="L106" s="419">
        <f t="shared" ref="L106:Q106" si="39">L68</f>
        <v>0</v>
      </c>
      <c r="M106" s="419">
        <f t="shared" si="39"/>
        <v>0</v>
      </c>
      <c r="N106" s="419">
        <f t="shared" si="39"/>
        <v>0</v>
      </c>
      <c r="O106" s="419">
        <f t="shared" si="39"/>
        <v>0</v>
      </c>
      <c r="P106" s="419">
        <f t="shared" si="39"/>
        <v>0</v>
      </c>
      <c r="Q106" s="419">
        <f t="shared" si="39"/>
        <v>0</v>
      </c>
    </row>
    <row r="107" spans="2:17">
      <c r="B107" s="399">
        <f t="shared" si="22"/>
        <v>4</v>
      </c>
      <c r="C107" s="391">
        <f t="shared" si="23"/>
        <v>3.3661999999999997E-2</v>
      </c>
      <c r="D107" s="425" t="str">
        <f t="shared" si="35"/>
        <v>3 &lt; X ≤ 4 years</v>
      </c>
      <c r="E107" s="418">
        <f t="shared" si="36"/>
        <v>5.2176099999999996E-2</v>
      </c>
      <c r="F107" s="418">
        <f t="shared" si="37"/>
        <v>1.5147899999999997E-2</v>
      </c>
      <c r="G107" s="419">
        <f t="shared" si="25"/>
        <v>0</v>
      </c>
      <c r="H107" s="419">
        <f t="shared" si="27"/>
        <v>0</v>
      </c>
      <c r="I107" s="419">
        <f t="shared" si="28"/>
        <v>0</v>
      </c>
      <c r="J107" s="419">
        <f t="shared" si="29"/>
        <v>0</v>
      </c>
      <c r="L107" s="419">
        <f t="shared" ref="L107:Q107" si="40">L69</f>
        <v>0</v>
      </c>
      <c r="M107" s="419">
        <f t="shared" si="40"/>
        <v>0</v>
      </c>
      <c r="N107" s="419">
        <f t="shared" si="40"/>
        <v>0</v>
      </c>
      <c r="O107" s="419">
        <f t="shared" si="40"/>
        <v>0</v>
      </c>
      <c r="P107" s="419">
        <f t="shared" si="40"/>
        <v>0</v>
      </c>
      <c r="Q107" s="419">
        <f t="shared" si="40"/>
        <v>0</v>
      </c>
    </row>
    <row r="108" spans="2:17">
      <c r="B108" s="399">
        <f t="shared" si="22"/>
        <v>5</v>
      </c>
      <c r="C108" s="391">
        <f t="shared" si="23"/>
        <v>2.9182E-2</v>
      </c>
      <c r="D108" s="425" t="str">
        <f t="shared" si="35"/>
        <v>4 &lt; X ≤ 5 years</v>
      </c>
      <c r="E108" s="418">
        <f t="shared" si="36"/>
        <v>4.4940279999999999E-2</v>
      </c>
      <c r="F108" s="418">
        <f t="shared" si="37"/>
        <v>1.3423719999999998E-2</v>
      </c>
      <c r="G108" s="419">
        <f t="shared" si="25"/>
        <v>0</v>
      </c>
      <c r="H108" s="419">
        <f t="shared" si="27"/>
        <v>0</v>
      </c>
      <c r="I108" s="419">
        <f t="shared" si="28"/>
        <v>0</v>
      </c>
      <c r="J108" s="419">
        <f t="shared" si="29"/>
        <v>0</v>
      </c>
      <c r="L108" s="419">
        <f t="shared" ref="L108:Q108" si="41">L70</f>
        <v>0</v>
      </c>
      <c r="M108" s="419">
        <f t="shared" si="41"/>
        <v>0</v>
      </c>
      <c r="N108" s="419">
        <f t="shared" si="41"/>
        <v>0</v>
      </c>
      <c r="O108" s="419">
        <f t="shared" si="41"/>
        <v>0</v>
      </c>
      <c r="P108" s="419">
        <f t="shared" si="41"/>
        <v>0</v>
      </c>
      <c r="Q108" s="419">
        <f t="shared" si="41"/>
        <v>0</v>
      </c>
    </row>
    <row r="109" spans="2:17">
      <c r="B109" s="399">
        <f t="shared" si="22"/>
        <v>6</v>
      </c>
      <c r="C109" s="391">
        <f t="shared" si="23"/>
        <v>2.9295000000000002E-2</v>
      </c>
      <c r="D109" s="425" t="str">
        <f t="shared" si="35"/>
        <v>5 &lt; X ≤ 6 years</v>
      </c>
      <c r="E109" s="418">
        <f t="shared" si="36"/>
        <v>4.5114300000000003E-2</v>
      </c>
      <c r="F109" s="418">
        <f t="shared" si="37"/>
        <v>1.34757E-2</v>
      </c>
      <c r="G109" s="419">
        <f t="shared" si="25"/>
        <v>0</v>
      </c>
      <c r="H109" s="419">
        <f t="shared" si="27"/>
        <v>0</v>
      </c>
      <c r="I109" s="419">
        <f t="shared" si="28"/>
        <v>0</v>
      </c>
      <c r="J109" s="419">
        <f t="shared" si="29"/>
        <v>0</v>
      </c>
      <c r="L109" s="419">
        <f t="shared" ref="L109:Q109" si="42">L71</f>
        <v>0</v>
      </c>
      <c r="M109" s="419">
        <f t="shared" si="42"/>
        <v>0</v>
      </c>
      <c r="N109" s="419">
        <f t="shared" si="42"/>
        <v>0</v>
      </c>
      <c r="O109" s="419">
        <f t="shared" si="42"/>
        <v>0</v>
      </c>
      <c r="P109" s="419">
        <f t="shared" si="42"/>
        <v>0</v>
      </c>
      <c r="Q109" s="419">
        <f t="shared" si="42"/>
        <v>0</v>
      </c>
    </row>
    <row r="110" spans="2:17">
      <c r="B110" s="399">
        <f t="shared" si="22"/>
        <v>7</v>
      </c>
      <c r="C110" s="391">
        <f t="shared" si="23"/>
        <v>2.9408E-2</v>
      </c>
      <c r="D110" s="425" t="str">
        <f t="shared" si="35"/>
        <v>6 &lt; X ≤ 7 years</v>
      </c>
      <c r="E110" s="418">
        <f t="shared" si="36"/>
        <v>4.528832E-2</v>
      </c>
      <c r="F110" s="418">
        <f t="shared" si="37"/>
        <v>1.3527679999999999E-2</v>
      </c>
      <c r="G110" s="419">
        <f t="shared" si="25"/>
        <v>0</v>
      </c>
      <c r="H110" s="419">
        <f t="shared" si="27"/>
        <v>0</v>
      </c>
      <c r="I110" s="419">
        <f t="shared" si="28"/>
        <v>0</v>
      </c>
      <c r="J110" s="419">
        <f t="shared" si="29"/>
        <v>0</v>
      </c>
      <c r="L110" s="419">
        <f t="shared" ref="L110:Q110" si="43">L72</f>
        <v>0</v>
      </c>
      <c r="M110" s="419">
        <f t="shared" si="43"/>
        <v>0</v>
      </c>
      <c r="N110" s="419">
        <f t="shared" si="43"/>
        <v>0</v>
      </c>
      <c r="O110" s="419">
        <f t="shared" si="43"/>
        <v>0</v>
      </c>
      <c r="P110" s="419">
        <f t="shared" si="43"/>
        <v>0</v>
      </c>
      <c r="Q110" s="419">
        <f t="shared" si="43"/>
        <v>0</v>
      </c>
    </row>
    <row r="111" spans="2:17">
      <c r="B111" s="399">
        <f t="shared" si="22"/>
        <v>8</v>
      </c>
      <c r="C111" s="391">
        <f t="shared" si="23"/>
        <v>3.4368999999999997E-2</v>
      </c>
      <c r="D111" s="425" t="str">
        <f t="shared" si="35"/>
        <v>7 &lt; X ≤ 8 years</v>
      </c>
      <c r="E111" s="418">
        <f t="shared" si="36"/>
        <v>5.2928259999999998E-2</v>
      </c>
      <c r="F111" s="418">
        <f t="shared" si="37"/>
        <v>1.5809739999999996E-2</v>
      </c>
      <c r="G111" s="419">
        <f t="shared" si="25"/>
        <v>0</v>
      </c>
      <c r="H111" s="419">
        <f t="shared" si="27"/>
        <v>0</v>
      </c>
      <c r="I111" s="419">
        <f t="shared" si="28"/>
        <v>0</v>
      </c>
      <c r="J111" s="419">
        <f t="shared" si="29"/>
        <v>0</v>
      </c>
      <c r="L111" s="419">
        <f t="shared" ref="L111:Q111" si="44">L73</f>
        <v>0</v>
      </c>
      <c r="M111" s="419">
        <f t="shared" si="44"/>
        <v>0</v>
      </c>
      <c r="N111" s="419">
        <f t="shared" si="44"/>
        <v>0</v>
      </c>
      <c r="O111" s="419">
        <f t="shared" si="44"/>
        <v>0</v>
      </c>
      <c r="P111" s="419">
        <f t="shared" si="44"/>
        <v>0</v>
      </c>
      <c r="Q111" s="419">
        <f t="shared" si="44"/>
        <v>0</v>
      </c>
    </row>
    <row r="112" spans="2:17">
      <c r="B112" s="399">
        <f t="shared" si="22"/>
        <v>9</v>
      </c>
      <c r="C112" s="391">
        <f t="shared" si="23"/>
        <v>3.9555E-2</v>
      </c>
      <c r="D112" s="425" t="str">
        <f t="shared" si="35"/>
        <v>8 &lt; X ≤ 9 years</v>
      </c>
      <c r="E112" s="418">
        <f t="shared" si="36"/>
        <v>6.0914700000000002E-2</v>
      </c>
      <c r="F112" s="418">
        <f t="shared" si="37"/>
        <v>1.8195299999999998E-2</v>
      </c>
      <c r="G112" s="419">
        <f t="shared" si="25"/>
        <v>0</v>
      </c>
      <c r="H112" s="419">
        <f t="shared" si="27"/>
        <v>0</v>
      </c>
      <c r="I112" s="419">
        <f t="shared" si="28"/>
        <v>0</v>
      </c>
      <c r="J112" s="419">
        <f t="shared" si="29"/>
        <v>0</v>
      </c>
      <c r="L112" s="419">
        <f t="shared" ref="L112:Q112" si="45">L74</f>
        <v>0</v>
      </c>
      <c r="M112" s="419">
        <f t="shared" si="45"/>
        <v>0</v>
      </c>
      <c r="N112" s="419">
        <f t="shared" si="45"/>
        <v>0</v>
      </c>
      <c r="O112" s="419">
        <f t="shared" si="45"/>
        <v>0</v>
      </c>
      <c r="P112" s="419">
        <f t="shared" si="45"/>
        <v>0</v>
      </c>
      <c r="Q112" s="419">
        <f t="shared" si="45"/>
        <v>0</v>
      </c>
    </row>
    <row r="113" spans="2:17">
      <c r="B113" s="399">
        <f t="shared" si="22"/>
        <v>10</v>
      </c>
      <c r="C113" s="391">
        <f t="shared" si="23"/>
        <v>4.5019999999999998E-2</v>
      </c>
      <c r="D113" s="425" t="str">
        <f t="shared" si="35"/>
        <v>9 &lt; X ≤ 10 years</v>
      </c>
      <c r="E113" s="418">
        <f t="shared" si="36"/>
        <v>6.9330799999999998E-2</v>
      </c>
      <c r="F113" s="418">
        <f t="shared" si="37"/>
        <v>2.0709199999999997E-2</v>
      </c>
      <c r="G113" s="419">
        <f t="shared" si="25"/>
        <v>0</v>
      </c>
      <c r="H113" s="419">
        <f t="shared" si="27"/>
        <v>0</v>
      </c>
      <c r="I113" s="419">
        <f t="shared" si="28"/>
        <v>0</v>
      </c>
      <c r="J113" s="419">
        <f t="shared" si="29"/>
        <v>0</v>
      </c>
      <c r="L113" s="419">
        <f t="shared" ref="L113:Q113" si="46">L75</f>
        <v>0</v>
      </c>
      <c r="M113" s="419">
        <f t="shared" si="46"/>
        <v>0</v>
      </c>
      <c r="N113" s="419">
        <f t="shared" si="46"/>
        <v>0</v>
      </c>
      <c r="O113" s="419">
        <f t="shared" si="46"/>
        <v>0</v>
      </c>
      <c r="P113" s="419">
        <f t="shared" si="46"/>
        <v>0</v>
      </c>
      <c r="Q113" s="419">
        <f t="shared" si="46"/>
        <v>0</v>
      </c>
    </row>
    <row r="114" spans="2:17">
      <c r="B114" s="399">
        <f t="shared" si="22"/>
        <v>11</v>
      </c>
      <c r="C114" s="391">
        <f t="shared" si="23"/>
        <v>4.4833999999999999E-2</v>
      </c>
      <c r="D114" s="425" t="str">
        <f t="shared" si="35"/>
        <v>10 &lt; X ≤ 11 years</v>
      </c>
      <c r="E114" s="418">
        <f t="shared" si="36"/>
        <v>6.7699339999999997E-2</v>
      </c>
      <c r="F114" s="418">
        <f t="shared" si="37"/>
        <v>2.1968659999999997E-2</v>
      </c>
      <c r="G114" s="419">
        <f t="shared" si="25"/>
        <v>0</v>
      </c>
      <c r="H114" s="419">
        <f t="shared" si="27"/>
        <v>0</v>
      </c>
      <c r="I114" s="419">
        <f t="shared" si="28"/>
        <v>0</v>
      </c>
      <c r="J114" s="419">
        <f t="shared" si="29"/>
        <v>0</v>
      </c>
      <c r="L114" s="419">
        <f t="shared" ref="L114:Q114" si="47">L76</f>
        <v>0</v>
      </c>
      <c r="M114" s="419">
        <f t="shared" si="47"/>
        <v>0</v>
      </c>
      <c r="N114" s="419">
        <f t="shared" si="47"/>
        <v>0</v>
      </c>
      <c r="O114" s="419">
        <f t="shared" si="47"/>
        <v>0</v>
      </c>
      <c r="P114" s="419">
        <f t="shared" si="47"/>
        <v>0</v>
      </c>
      <c r="Q114" s="419">
        <f t="shared" si="47"/>
        <v>0</v>
      </c>
    </row>
    <row r="115" spans="2:17">
      <c r="B115" s="399">
        <f t="shared" si="22"/>
        <v>12</v>
      </c>
      <c r="C115" s="391">
        <f t="shared" si="23"/>
        <v>4.4684000000000001E-2</v>
      </c>
      <c r="D115" s="425" t="str">
        <f t="shared" si="35"/>
        <v>11 &lt; X ≤ 12 years</v>
      </c>
      <c r="E115" s="418">
        <f t="shared" si="36"/>
        <v>6.7472840000000006E-2</v>
      </c>
      <c r="F115" s="418">
        <f t="shared" si="37"/>
        <v>2.189516E-2</v>
      </c>
      <c r="G115" s="419">
        <f t="shared" si="25"/>
        <v>0</v>
      </c>
      <c r="H115" s="419">
        <f t="shared" si="27"/>
        <v>0</v>
      </c>
      <c r="I115" s="419">
        <f t="shared" si="28"/>
        <v>0</v>
      </c>
      <c r="J115" s="419">
        <f t="shared" si="29"/>
        <v>0</v>
      </c>
      <c r="L115" s="419">
        <f t="shared" ref="L115:Q115" si="48">L77</f>
        <v>0</v>
      </c>
      <c r="M115" s="419">
        <f t="shared" si="48"/>
        <v>0</v>
      </c>
      <c r="N115" s="419">
        <f t="shared" si="48"/>
        <v>0</v>
      </c>
      <c r="O115" s="419">
        <f t="shared" si="48"/>
        <v>0</v>
      </c>
      <c r="P115" s="419">
        <f t="shared" si="48"/>
        <v>0</v>
      </c>
      <c r="Q115" s="419">
        <f t="shared" si="48"/>
        <v>0</v>
      </c>
    </row>
    <row r="116" spans="2:17">
      <c r="B116" s="399">
        <f t="shared" si="22"/>
        <v>13</v>
      </c>
      <c r="C116" s="391">
        <f t="shared" si="23"/>
        <v>4.4561999999999997E-2</v>
      </c>
      <c r="D116" s="425" t="str">
        <f t="shared" si="35"/>
        <v>12 &lt; X ≤ 13 years</v>
      </c>
      <c r="E116" s="418">
        <f t="shared" si="36"/>
        <v>6.7288619999999993E-2</v>
      </c>
      <c r="F116" s="418">
        <f t="shared" si="37"/>
        <v>2.1835379999999998E-2</v>
      </c>
      <c r="G116" s="419">
        <f t="shared" si="25"/>
        <v>0</v>
      </c>
      <c r="H116" s="419">
        <f t="shared" si="27"/>
        <v>0</v>
      </c>
      <c r="I116" s="419">
        <f t="shared" si="28"/>
        <v>0</v>
      </c>
      <c r="J116" s="419">
        <f t="shared" si="29"/>
        <v>0</v>
      </c>
      <c r="L116" s="419">
        <f t="shared" ref="L116:Q116" si="49">L78</f>
        <v>0</v>
      </c>
      <c r="M116" s="419">
        <f t="shared" si="49"/>
        <v>0</v>
      </c>
      <c r="N116" s="419">
        <f t="shared" si="49"/>
        <v>0</v>
      </c>
      <c r="O116" s="419">
        <f t="shared" si="49"/>
        <v>0</v>
      </c>
      <c r="P116" s="419">
        <f t="shared" si="49"/>
        <v>0</v>
      </c>
      <c r="Q116" s="419">
        <f t="shared" si="49"/>
        <v>0</v>
      </c>
    </row>
    <row r="117" spans="2:17">
      <c r="B117" s="399">
        <f t="shared" si="22"/>
        <v>14</v>
      </c>
      <c r="C117" s="391">
        <f t="shared" si="23"/>
        <v>4.4462000000000002E-2</v>
      </c>
      <c r="D117" s="425" t="str">
        <f t="shared" si="35"/>
        <v>13 &lt; X ≤ 14 years</v>
      </c>
      <c r="E117" s="418">
        <f t="shared" si="36"/>
        <v>6.7137620000000009E-2</v>
      </c>
      <c r="F117" s="418">
        <f t="shared" si="37"/>
        <v>2.1786380000000001E-2</v>
      </c>
      <c r="G117" s="419">
        <f t="shared" si="25"/>
        <v>0</v>
      </c>
      <c r="H117" s="419">
        <f t="shared" si="27"/>
        <v>0</v>
      </c>
      <c r="I117" s="419">
        <f t="shared" si="28"/>
        <v>0</v>
      </c>
      <c r="J117" s="419">
        <f t="shared" si="29"/>
        <v>0</v>
      </c>
      <c r="L117" s="419">
        <f t="shared" ref="L117:Q117" si="50">L79</f>
        <v>0</v>
      </c>
      <c r="M117" s="419">
        <f t="shared" si="50"/>
        <v>0</v>
      </c>
      <c r="N117" s="419">
        <f t="shared" si="50"/>
        <v>0</v>
      </c>
      <c r="O117" s="419">
        <f t="shared" si="50"/>
        <v>0</v>
      </c>
      <c r="P117" s="419">
        <f t="shared" si="50"/>
        <v>0</v>
      </c>
      <c r="Q117" s="419">
        <f t="shared" si="50"/>
        <v>0</v>
      </c>
    </row>
    <row r="118" spans="2:17">
      <c r="B118" s="399">
        <f t="shared" si="22"/>
        <v>15</v>
      </c>
      <c r="C118" s="391">
        <f t="shared" si="23"/>
        <v>4.4380000000000003E-2</v>
      </c>
      <c r="D118" s="425" t="str">
        <f t="shared" si="35"/>
        <v>14 &lt; X ≤ 15 years</v>
      </c>
      <c r="E118" s="418">
        <f t="shared" si="36"/>
        <v>6.7013799999999998E-2</v>
      </c>
      <c r="F118" s="418">
        <f t="shared" si="37"/>
        <v>2.17462E-2</v>
      </c>
      <c r="G118" s="419">
        <f t="shared" si="25"/>
        <v>0</v>
      </c>
      <c r="H118" s="419">
        <f t="shared" si="27"/>
        <v>0</v>
      </c>
      <c r="I118" s="419">
        <f t="shared" si="28"/>
        <v>0</v>
      </c>
      <c r="J118" s="419">
        <f t="shared" si="29"/>
        <v>0</v>
      </c>
      <c r="L118" s="419">
        <f t="shared" ref="L118:Q118" si="51">L80</f>
        <v>0</v>
      </c>
      <c r="M118" s="419">
        <f t="shared" si="51"/>
        <v>0</v>
      </c>
      <c r="N118" s="419">
        <f t="shared" si="51"/>
        <v>0</v>
      </c>
      <c r="O118" s="419">
        <f t="shared" si="51"/>
        <v>0</v>
      </c>
      <c r="P118" s="419">
        <f t="shared" si="51"/>
        <v>0</v>
      </c>
      <c r="Q118" s="419">
        <f t="shared" si="51"/>
        <v>0</v>
      </c>
    </row>
    <row r="119" spans="2:17">
      <c r="B119" s="399">
        <f t="shared" si="22"/>
        <v>16</v>
      </c>
      <c r="C119" s="391">
        <f t="shared" si="23"/>
        <v>4.4311999999999997E-2</v>
      </c>
      <c r="D119" s="425" t="str">
        <f t="shared" si="35"/>
        <v>15 &lt; X ≤ 16 years</v>
      </c>
      <c r="E119" s="418">
        <f t="shared" si="36"/>
        <v>6.6911119999999991E-2</v>
      </c>
      <c r="F119" s="418">
        <f t="shared" si="37"/>
        <v>2.1712879999999997E-2</v>
      </c>
      <c r="G119" s="419">
        <f t="shared" si="25"/>
        <v>0</v>
      </c>
      <c r="H119" s="419">
        <f t="shared" si="27"/>
        <v>0</v>
      </c>
      <c r="I119" s="419">
        <f t="shared" si="28"/>
        <v>0</v>
      </c>
      <c r="J119" s="419">
        <f t="shared" si="29"/>
        <v>0</v>
      </c>
      <c r="L119" s="419">
        <f t="shared" ref="L119:Q119" si="52">L81</f>
        <v>0</v>
      </c>
      <c r="M119" s="419">
        <f t="shared" si="52"/>
        <v>0</v>
      </c>
      <c r="N119" s="419">
        <f t="shared" si="52"/>
        <v>0</v>
      </c>
      <c r="O119" s="419">
        <f t="shared" si="52"/>
        <v>0</v>
      </c>
      <c r="P119" s="419">
        <f t="shared" si="52"/>
        <v>0</v>
      </c>
      <c r="Q119" s="419">
        <f t="shared" si="52"/>
        <v>0</v>
      </c>
    </row>
    <row r="120" spans="2:17">
      <c r="B120" s="399">
        <f t="shared" si="22"/>
        <v>17</v>
      </c>
      <c r="C120" s="391">
        <f t="shared" si="23"/>
        <v>4.4256999999999998E-2</v>
      </c>
      <c r="D120" s="425" t="str">
        <f t="shared" si="35"/>
        <v>16 &lt; X ≤ 17 years</v>
      </c>
      <c r="E120" s="418">
        <f t="shared" si="36"/>
        <v>6.6828070000000003E-2</v>
      </c>
      <c r="F120" s="418">
        <f t="shared" si="37"/>
        <v>2.1685929999999999E-2</v>
      </c>
      <c r="G120" s="419">
        <f t="shared" si="25"/>
        <v>0</v>
      </c>
      <c r="H120" s="419">
        <f t="shared" si="27"/>
        <v>0</v>
      </c>
      <c r="I120" s="419">
        <f t="shared" si="28"/>
        <v>0</v>
      </c>
      <c r="J120" s="419">
        <f t="shared" si="29"/>
        <v>0</v>
      </c>
      <c r="L120" s="419">
        <f t="shared" ref="L120:Q120" si="53">L82</f>
        <v>0</v>
      </c>
      <c r="M120" s="419">
        <f t="shared" si="53"/>
        <v>0</v>
      </c>
      <c r="N120" s="419">
        <f t="shared" si="53"/>
        <v>0</v>
      </c>
      <c r="O120" s="419">
        <f t="shared" si="53"/>
        <v>0</v>
      </c>
      <c r="P120" s="419">
        <f t="shared" si="53"/>
        <v>0</v>
      </c>
      <c r="Q120" s="419">
        <f t="shared" si="53"/>
        <v>0</v>
      </c>
    </row>
    <row r="121" spans="2:17">
      <c r="B121" s="399">
        <f t="shared" si="22"/>
        <v>18</v>
      </c>
      <c r="C121" s="391">
        <f t="shared" si="23"/>
        <v>4.4212000000000001E-2</v>
      </c>
      <c r="D121" s="425" t="str">
        <f t="shared" si="35"/>
        <v>17 &lt; X ≤ 18 years</v>
      </c>
      <c r="E121" s="418">
        <f t="shared" si="36"/>
        <v>6.6760120000000006E-2</v>
      </c>
      <c r="F121" s="418">
        <f t="shared" si="37"/>
        <v>2.166388E-2</v>
      </c>
      <c r="G121" s="419">
        <f t="shared" si="25"/>
        <v>0</v>
      </c>
      <c r="H121" s="419">
        <f t="shared" si="27"/>
        <v>0</v>
      </c>
      <c r="I121" s="419">
        <f t="shared" si="28"/>
        <v>0</v>
      </c>
      <c r="J121" s="419">
        <f t="shared" si="29"/>
        <v>0</v>
      </c>
      <c r="L121" s="419">
        <f t="shared" ref="L121:Q121" si="54">L83</f>
        <v>0</v>
      </c>
      <c r="M121" s="419">
        <f t="shared" si="54"/>
        <v>0</v>
      </c>
      <c r="N121" s="419">
        <f t="shared" si="54"/>
        <v>0</v>
      </c>
      <c r="O121" s="419">
        <f t="shared" si="54"/>
        <v>0</v>
      </c>
      <c r="P121" s="419">
        <f t="shared" si="54"/>
        <v>0</v>
      </c>
      <c r="Q121" s="419">
        <f t="shared" si="54"/>
        <v>0</v>
      </c>
    </row>
    <row r="122" spans="2:17">
      <c r="B122" s="399">
        <f t="shared" si="22"/>
        <v>19</v>
      </c>
      <c r="C122" s="391">
        <f t="shared" si="23"/>
        <v>4.4174999999999999E-2</v>
      </c>
      <c r="D122" s="425" t="str">
        <f t="shared" si="35"/>
        <v>18 &lt; X ≤ 19 years</v>
      </c>
      <c r="E122" s="418">
        <f t="shared" si="36"/>
        <v>6.6704249999999993E-2</v>
      </c>
      <c r="F122" s="418">
        <f t="shared" si="37"/>
        <v>2.1645749999999998E-2</v>
      </c>
      <c r="G122" s="419">
        <f t="shared" si="25"/>
        <v>0</v>
      </c>
      <c r="H122" s="419">
        <f t="shared" si="27"/>
        <v>0</v>
      </c>
      <c r="I122" s="419">
        <f t="shared" si="28"/>
        <v>0</v>
      </c>
      <c r="J122" s="419">
        <f t="shared" si="29"/>
        <v>0</v>
      </c>
      <c r="L122" s="419">
        <f t="shared" ref="L122:Q122" si="55">L84</f>
        <v>0</v>
      </c>
      <c r="M122" s="419">
        <f t="shared" si="55"/>
        <v>0</v>
      </c>
      <c r="N122" s="419">
        <f t="shared" si="55"/>
        <v>0</v>
      </c>
      <c r="O122" s="419">
        <f t="shared" si="55"/>
        <v>0</v>
      </c>
      <c r="P122" s="419">
        <f t="shared" si="55"/>
        <v>0</v>
      </c>
      <c r="Q122" s="419">
        <f t="shared" si="55"/>
        <v>0</v>
      </c>
    </row>
    <row r="123" spans="2:17">
      <c r="B123" s="399">
        <f t="shared" si="22"/>
        <v>20</v>
      </c>
      <c r="C123" s="391">
        <f t="shared" si="23"/>
        <v>4.4146999999999999E-2</v>
      </c>
      <c r="D123" s="425" t="str">
        <f t="shared" si="35"/>
        <v>19 &lt; X ≤ 20 years</v>
      </c>
      <c r="E123" s="418">
        <f t="shared" si="36"/>
        <v>6.6661970000000001E-2</v>
      </c>
      <c r="F123" s="418">
        <f t="shared" si="37"/>
        <v>2.163203E-2</v>
      </c>
      <c r="G123" s="419">
        <f t="shared" si="25"/>
        <v>0</v>
      </c>
      <c r="H123" s="419">
        <f t="shared" si="27"/>
        <v>0</v>
      </c>
      <c r="I123" s="419">
        <f t="shared" si="28"/>
        <v>0</v>
      </c>
      <c r="J123" s="419">
        <f t="shared" si="29"/>
        <v>0</v>
      </c>
      <c r="L123" s="419">
        <f t="shared" ref="L123:Q123" si="56">L85</f>
        <v>0</v>
      </c>
      <c r="M123" s="419">
        <f t="shared" si="56"/>
        <v>0</v>
      </c>
      <c r="N123" s="419">
        <f t="shared" si="56"/>
        <v>0</v>
      </c>
      <c r="O123" s="419">
        <f t="shared" si="56"/>
        <v>0</v>
      </c>
      <c r="P123" s="419">
        <f t="shared" si="56"/>
        <v>0</v>
      </c>
      <c r="Q123" s="419">
        <f t="shared" si="56"/>
        <v>0</v>
      </c>
    </row>
    <row r="124" spans="2:17">
      <c r="B124" s="399">
        <f t="shared" si="22"/>
        <v>21</v>
      </c>
      <c r="C124" s="391">
        <f t="shared" si="23"/>
        <v>5.8872000000000001E-2</v>
      </c>
      <c r="D124" s="425" t="str">
        <f t="shared" si="35"/>
        <v>20 &lt; X ≤ 21 years</v>
      </c>
      <c r="E124" s="418">
        <f t="shared" si="36"/>
        <v>8.8896719999999999E-2</v>
      </c>
      <c r="F124" s="418">
        <f t="shared" si="37"/>
        <v>2.8847279999999999E-2</v>
      </c>
      <c r="G124" s="419">
        <f t="shared" si="25"/>
        <v>0</v>
      </c>
      <c r="H124" s="419">
        <f t="shared" si="27"/>
        <v>0</v>
      </c>
      <c r="I124" s="419">
        <f t="shared" si="28"/>
        <v>0</v>
      </c>
      <c r="J124" s="419">
        <f t="shared" si="29"/>
        <v>0</v>
      </c>
      <c r="L124" s="419">
        <f t="shared" ref="L124:Q124" si="57">L86</f>
        <v>0</v>
      </c>
      <c r="M124" s="419">
        <f t="shared" si="57"/>
        <v>0</v>
      </c>
      <c r="N124" s="419">
        <f t="shared" si="57"/>
        <v>0</v>
      </c>
      <c r="O124" s="419">
        <f t="shared" si="57"/>
        <v>0</v>
      </c>
      <c r="P124" s="419">
        <f t="shared" si="57"/>
        <v>0</v>
      </c>
      <c r="Q124" s="419">
        <f t="shared" si="57"/>
        <v>0</v>
      </c>
    </row>
    <row r="125" spans="2:17">
      <c r="B125" s="399">
        <f t="shared" si="22"/>
        <v>22</v>
      </c>
      <c r="C125" s="391">
        <f t="shared" si="23"/>
        <v>5.8498000000000001E-2</v>
      </c>
      <c r="D125" s="425" t="str">
        <f t="shared" si="35"/>
        <v>21 &lt; X ≤ 22 years</v>
      </c>
      <c r="E125" s="418">
        <f t="shared" si="36"/>
        <v>8.8331980000000004E-2</v>
      </c>
      <c r="F125" s="418">
        <f t="shared" si="37"/>
        <v>2.8664020000000002E-2</v>
      </c>
      <c r="G125" s="419">
        <f t="shared" si="25"/>
        <v>0</v>
      </c>
      <c r="H125" s="419">
        <f t="shared" si="27"/>
        <v>0</v>
      </c>
      <c r="I125" s="419">
        <f t="shared" si="28"/>
        <v>0</v>
      </c>
      <c r="J125" s="419">
        <f t="shared" si="29"/>
        <v>0</v>
      </c>
      <c r="L125" s="419">
        <f t="shared" ref="L125:Q125" si="58">L87</f>
        <v>0</v>
      </c>
      <c r="M125" s="419">
        <f t="shared" si="58"/>
        <v>0</v>
      </c>
      <c r="N125" s="419">
        <f t="shared" si="58"/>
        <v>0</v>
      </c>
      <c r="O125" s="419">
        <f t="shared" si="58"/>
        <v>0</v>
      </c>
      <c r="P125" s="419">
        <f t="shared" si="58"/>
        <v>0</v>
      </c>
      <c r="Q125" s="419">
        <f t="shared" si="58"/>
        <v>0</v>
      </c>
    </row>
    <row r="126" spans="2:17">
      <c r="B126" s="399">
        <f t="shared" si="22"/>
        <v>23</v>
      </c>
      <c r="C126" s="391">
        <f t="shared" si="23"/>
        <v>5.8157E-2</v>
      </c>
      <c r="D126" s="425" t="str">
        <f t="shared" si="35"/>
        <v>22 &lt; X ≤ 23 years</v>
      </c>
      <c r="E126" s="418">
        <f t="shared" si="36"/>
        <v>8.7817069999999997E-2</v>
      </c>
      <c r="F126" s="418">
        <f t="shared" si="37"/>
        <v>2.849693E-2</v>
      </c>
      <c r="G126" s="419">
        <f t="shared" si="25"/>
        <v>0</v>
      </c>
      <c r="H126" s="419">
        <f t="shared" si="27"/>
        <v>0</v>
      </c>
      <c r="I126" s="419">
        <f t="shared" si="28"/>
        <v>0</v>
      </c>
      <c r="J126" s="419">
        <f t="shared" si="29"/>
        <v>0</v>
      </c>
      <c r="L126" s="419">
        <f t="shared" ref="L126:Q126" si="59">L88</f>
        <v>0</v>
      </c>
      <c r="M126" s="419">
        <f t="shared" si="59"/>
        <v>0</v>
      </c>
      <c r="N126" s="419">
        <f t="shared" si="59"/>
        <v>0</v>
      </c>
      <c r="O126" s="419">
        <f t="shared" si="59"/>
        <v>0</v>
      </c>
      <c r="P126" s="419">
        <f t="shared" si="59"/>
        <v>0</v>
      </c>
      <c r="Q126" s="419">
        <f t="shared" si="59"/>
        <v>0</v>
      </c>
    </row>
    <row r="127" spans="2:17">
      <c r="B127" s="399">
        <f t="shared" si="22"/>
        <v>24</v>
      </c>
      <c r="C127" s="391">
        <f t="shared" si="23"/>
        <v>5.7844E-2</v>
      </c>
      <c r="D127" s="425" t="str">
        <f t="shared" si="35"/>
        <v>23 &lt; X ≤ 24 years</v>
      </c>
      <c r="E127" s="418">
        <f t="shared" si="36"/>
        <v>8.7344439999999995E-2</v>
      </c>
      <c r="F127" s="418">
        <f t="shared" si="37"/>
        <v>2.834356E-2</v>
      </c>
      <c r="G127" s="419">
        <f t="shared" si="25"/>
        <v>0</v>
      </c>
      <c r="H127" s="419">
        <f t="shared" si="27"/>
        <v>0</v>
      </c>
      <c r="I127" s="419">
        <f t="shared" si="28"/>
        <v>0</v>
      </c>
      <c r="J127" s="419">
        <f t="shared" si="29"/>
        <v>0</v>
      </c>
      <c r="L127" s="419">
        <f t="shared" ref="L127:Q127" si="60">L89</f>
        <v>0</v>
      </c>
      <c r="M127" s="419">
        <f t="shared" si="60"/>
        <v>0</v>
      </c>
      <c r="N127" s="419">
        <f t="shared" si="60"/>
        <v>0</v>
      </c>
      <c r="O127" s="419">
        <f t="shared" si="60"/>
        <v>0</v>
      </c>
      <c r="P127" s="419">
        <f t="shared" si="60"/>
        <v>0</v>
      </c>
      <c r="Q127" s="419">
        <f t="shared" si="60"/>
        <v>0</v>
      </c>
    </row>
    <row r="128" spans="2:17">
      <c r="B128" s="399">
        <f t="shared" si="22"/>
        <v>25</v>
      </c>
      <c r="C128" s="391">
        <f t="shared" si="23"/>
        <v>5.7556999999999997E-2</v>
      </c>
      <c r="D128" s="425" t="str">
        <f t="shared" si="35"/>
        <v>24 &lt; X ≤ 25 years</v>
      </c>
      <c r="E128" s="418">
        <f t="shared" si="36"/>
        <v>8.6911069999999993E-2</v>
      </c>
      <c r="F128" s="418">
        <f t="shared" si="37"/>
        <v>2.8202929999999998E-2</v>
      </c>
      <c r="G128" s="419">
        <f t="shared" si="25"/>
        <v>0</v>
      </c>
      <c r="H128" s="419">
        <f t="shared" si="27"/>
        <v>0</v>
      </c>
      <c r="I128" s="419">
        <f t="shared" si="28"/>
        <v>0</v>
      </c>
      <c r="J128" s="419">
        <f t="shared" si="29"/>
        <v>0</v>
      </c>
      <c r="L128" s="419">
        <f t="shared" ref="L128:Q128" si="61">L90</f>
        <v>0</v>
      </c>
      <c r="M128" s="419">
        <f t="shared" si="61"/>
        <v>0</v>
      </c>
      <c r="N128" s="419">
        <f t="shared" si="61"/>
        <v>0</v>
      </c>
      <c r="O128" s="419">
        <f t="shared" si="61"/>
        <v>0</v>
      </c>
      <c r="P128" s="419">
        <f t="shared" si="61"/>
        <v>0</v>
      </c>
      <c r="Q128" s="419">
        <f t="shared" si="61"/>
        <v>0</v>
      </c>
    </row>
    <row r="129" spans="2:17">
      <c r="B129" s="399">
        <f t="shared" si="22"/>
        <v>26</v>
      </c>
      <c r="C129" s="391">
        <f t="shared" si="23"/>
        <v>5.7291000000000002E-2</v>
      </c>
      <c r="D129" s="425" t="str">
        <f t="shared" si="35"/>
        <v>25 &lt; X ≤ 26 years</v>
      </c>
      <c r="E129" s="418">
        <f t="shared" si="36"/>
        <v>8.6509410000000009E-2</v>
      </c>
      <c r="F129" s="418">
        <f t="shared" si="37"/>
        <v>2.8072590000000001E-2</v>
      </c>
      <c r="G129" s="419">
        <f t="shared" si="25"/>
        <v>0</v>
      </c>
      <c r="H129" s="419">
        <f t="shared" si="27"/>
        <v>0</v>
      </c>
      <c r="I129" s="419">
        <f t="shared" si="28"/>
        <v>0</v>
      </c>
      <c r="J129" s="419">
        <f t="shared" si="29"/>
        <v>0</v>
      </c>
      <c r="L129" s="419">
        <f t="shared" ref="L129:Q129" si="62">L91</f>
        <v>0</v>
      </c>
      <c r="M129" s="419">
        <f t="shared" si="62"/>
        <v>0</v>
      </c>
      <c r="N129" s="419">
        <f t="shared" si="62"/>
        <v>0</v>
      </c>
      <c r="O129" s="419">
        <f t="shared" si="62"/>
        <v>0</v>
      </c>
      <c r="P129" s="419">
        <f t="shared" si="62"/>
        <v>0</v>
      </c>
      <c r="Q129" s="419">
        <f t="shared" si="62"/>
        <v>0</v>
      </c>
    </row>
    <row r="130" spans="2:17">
      <c r="B130" s="399">
        <f t="shared" si="22"/>
        <v>27</v>
      </c>
      <c r="C130" s="391">
        <f t="shared" si="23"/>
        <v>5.7044999999999998E-2</v>
      </c>
      <c r="D130" s="425" t="str">
        <f t="shared" si="35"/>
        <v>26 &lt; X ≤ 27 years</v>
      </c>
      <c r="E130" s="418">
        <f t="shared" si="36"/>
        <v>8.6137950000000005E-2</v>
      </c>
      <c r="F130" s="418">
        <f t="shared" si="37"/>
        <v>2.7952049999999999E-2</v>
      </c>
      <c r="G130" s="419">
        <f t="shared" si="25"/>
        <v>0</v>
      </c>
      <c r="H130" s="419">
        <f t="shared" si="27"/>
        <v>0</v>
      </c>
      <c r="I130" s="419">
        <f t="shared" si="28"/>
        <v>0</v>
      </c>
      <c r="J130" s="419">
        <f t="shared" si="29"/>
        <v>0</v>
      </c>
      <c r="L130" s="419">
        <f t="shared" ref="L130:Q130" si="63">L92</f>
        <v>0</v>
      </c>
      <c r="M130" s="419">
        <f t="shared" si="63"/>
        <v>0</v>
      </c>
      <c r="N130" s="419">
        <f t="shared" si="63"/>
        <v>0</v>
      </c>
      <c r="O130" s="419">
        <f t="shared" si="63"/>
        <v>0</v>
      </c>
      <c r="P130" s="419">
        <f t="shared" si="63"/>
        <v>0</v>
      </c>
      <c r="Q130" s="419">
        <f t="shared" si="63"/>
        <v>0</v>
      </c>
    </row>
    <row r="131" spans="2:17">
      <c r="B131" s="399">
        <f t="shared" si="22"/>
        <v>28</v>
      </c>
      <c r="C131" s="391">
        <f t="shared" si="23"/>
        <v>5.6816999999999999E-2</v>
      </c>
      <c r="D131" s="425" t="str">
        <f t="shared" si="35"/>
        <v>27 &lt; X ≤ 28 years</v>
      </c>
      <c r="E131" s="418">
        <f t="shared" si="36"/>
        <v>8.5793670000000002E-2</v>
      </c>
      <c r="F131" s="418">
        <f t="shared" si="37"/>
        <v>2.784033E-2</v>
      </c>
      <c r="G131" s="419">
        <f t="shared" si="25"/>
        <v>0</v>
      </c>
      <c r="H131" s="419">
        <f t="shared" si="27"/>
        <v>0</v>
      </c>
      <c r="I131" s="419">
        <f t="shared" si="28"/>
        <v>0</v>
      </c>
      <c r="J131" s="419">
        <f t="shared" si="29"/>
        <v>0</v>
      </c>
      <c r="L131" s="419">
        <f t="shared" ref="L131:Q131" si="64">L93</f>
        <v>0</v>
      </c>
      <c r="M131" s="419">
        <f t="shared" si="64"/>
        <v>0</v>
      </c>
      <c r="N131" s="419">
        <f t="shared" si="64"/>
        <v>0</v>
      </c>
      <c r="O131" s="419">
        <f t="shared" si="64"/>
        <v>0</v>
      </c>
      <c r="P131" s="419">
        <f t="shared" si="64"/>
        <v>0</v>
      </c>
      <c r="Q131" s="419">
        <f t="shared" si="64"/>
        <v>0</v>
      </c>
    </row>
    <row r="132" spans="2:17">
      <c r="B132" s="399">
        <f t="shared" si="22"/>
        <v>29</v>
      </c>
      <c r="C132" s="391">
        <f t="shared" si="23"/>
        <v>5.6605000000000003E-2</v>
      </c>
      <c r="D132" s="425" t="str">
        <f t="shared" si="35"/>
        <v>28 &lt; X ≤ 29 years</v>
      </c>
      <c r="E132" s="418">
        <f t="shared" si="36"/>
        <v>8.5473550000000009E-2</v>
      </c>
      <c r="F132" s="418">
        <f t="shared" si="37"/>
        <v>2.7736449999999999E-2</v>
      </c>
      <c r="G132" s="419">
        <f t="shared" si="25"/>
        <v>0</v>
      </c>
      <c r="H132" s="419">
        <f t="shared" si="27"/>
        <v>0</v>
      </c>
      <c r="I132" s="419">
        <f t="shared" si="28"/>
        <v>0</v>
      </c>
      <c r="J132" s="419">
        <f t="shared" si="29"/>
        <v>0</v>
      </c>
      <c r="L132" s="419">
        <f t="shared" ref="L132:Q132" si="65">L94</f>
        <v>0</v>
      </c>
      <c r="M132" s="419">
        <f t="shared" si="65"/>
        <v>0</v>
      </c>
      <c r="N132" s="419">
        <f t="shared" si="65"/>
        <v>0</v>
      </c>
      <c r="O132" s="419">
        <f t="shared" si="65"/>
        <v>0</v>
      </c>
      <c r="P132" s="419">
        <f t="shared" si="65"/>
        <v>0</v>
      </c>
      <c r="Q132" s="419">
        <f t="shared" si="65"/>
        <v>0</v>
      </c>
    </row>
    <row r="133" spans="2:17">
      <c r="B133" s="403">
        <f t="shared" si="22"/>
        <v>30</v>
      </c>
      <c r="C133" s="426">
        <f t="shared" si="23"/>
        <v>5.6406999999999999E-2</v>
      </c>
      <c r="D133" s="427" t="str">
        <f t="shared" si="35"/>
        <v>X &gt; 29 years</v>
      </c>
      <c r="E133" s="420">
        <f t="shared" si="36"/>
        <v>8.5174570000000005E-2</v>
      </c>
      <c r="F133" s="420">
        <f t="shared" si="37"/>
        <v>2.763943E-2</v>
      </c>
      <c r="G133" s="421">
        <f t="shared" si="25"/>
        <v>0</v>
      </c>
      <c r="H133" s="419">
        <f t="shared" si="27"/>
        <v>0</v>
      </c>
      <c r="I133" s="419">
        <f t="shared" si="28"/>
        <v>0</v>
      </c>
      <c r="J133" s="419">
        <f t="shared" si="29"/>
        <v>0</v>
      </c>
      <c r="L133" s="421">
        <f t="shared" ref="L133:Q133" si="66">L95</f>
        <v>0</v>
      </c>
      <c r="M133" s="421">
        <f t="shared" si="66"/>
        <v>0</v>
      </c>
      <c r="N133" s="421">
        <f t="shared" si="66"/>
        <v>0</v>
      </c>
      <c r="O133" s="421">
        <f t="shared" si="66"/>
        <v>0</v>
      </c>
      <c r="P133" s="421">
        <f t="shared" si="66"/>
        <v>0</v>
      </c>
      <c r="Q133" s="421">
        <f t="shared" si="66"/>
        <v>0</v>
      </c>
    </row>
    <row r="134" spans="2:17">
      <c r="E134" s="428"/>
      <c r="F134" s="428"/>
    </row>
  </sheetData>
  <sheetProtection algorithmName="SHA-512" hashValue="eB8fHs9fi+702g5UsOmsRrGkhWNK+7YmuZN70ypcFGkt50wBsk7KxBE1ogZy5ccNFo0FfrQKFF5EvLtrEY616Q==" saltValue="4FZbz0cJ6P1CT+/RVxVlGQ==" spinCount="100000" sheet="1" formatCells="0" formatColumns="0" insertHyperlinks="0" sort="0" autoFilter="0" pivotTables="0"/>
  <mergeCells count="1">
    <mergeCell ref="D23:F23"/>
  </mergeCells>
  <conditionalFormatting sqref="H19">
    <cfRule type="cellIs" dxfId="2" priority="1" operator="equal">
      <formula>"CHECK"</formula>
    </cfRule>
  </conditionalFormatting>
  <pageMargins left="0.7" right="0.7" top="0.75" bottom="0.75" header="0.3" footer="0.3"/>
  <pageSetup paperSize="9" scale="48" fitToWidth="0" fitToHeight="0" orientation="landscape" horizontalDpi="4294967293" verticalDpi="300" r:id="rId1"/>
  <rowBreaks count="2" manualBreakCount="2">
    <brk id="58" max="16383" man="1"/>
    <brk id="96" max="1638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theme="5" tint="0.39997558519241921"/>
    <pageSetUpPr fitToPage="1"/>
  </sheetPr>
  <dimension ref="A1:J24"/>
  <sheetViews>
    <sheetView showGridLines="0" zoomScale="90" zoomScaleNormal="90" workbookViewId="0">
      <pane ySplit="10" topLeftCell="A11" activePane="bottomLeft" state="frozen"/>
      <selection activeCell="F34" sqref="F34"/>
      <selection pane="bottomLeft" activeCell="F34" sqref="F34"/>
    </sheetView>
  </sheetViews>
  <sheetFormatPr defaultColWidth="8.7109375" defaultRowHeight="15"/>
  <cols>
    <col min="1" max="1" width="2.7109375" customWidth="1"/>
    <col min="2" max="4" width="24.42578125" customWidth="1"/>
    <col min="5" max="12" width="17.85546875" customWidth="1"/>
    <col min="13" max="84" width="17.5703125" customWidth="1"/>
  </cols>
  <sheetData>
    <row r="1" spans="1:10">
      <c r="A1" s="10"/>
    </row>
    <row r="2" spans="1:10" ht="15.75">
      <c r="B2" s="50"/>
      <c r="C2" s="50"/>
      <c r="D2" s="50"/>
      <c r="E2" s="50"/>
      <c r="F2" s="50"/>
      <c r="G2" s="50"/>
      <c r="H2" s="50"/>
      <c r="I2" s="50"/>
      <c r="J2" s="50"/>
    </row>
    <row r="3" spans="1:10" ht="15.75">
      <c r="B3" s="50"/>
      <c r="C3" s="50"/>
      <c r="D3" s="50"/>
      <c r="E3" s="50"/>
      <c r="F3" s="50"/>
      <c r="G3" s="50"/>
      <c r="H3" s="50"/>
      <c r="I3" s="50"/>
      <c r="J3" s="50"/>
    </row>
    <row r="4" spans="1:10" ht="15.75">
      <c r="B4" s="50"/>
      <c r="C4" s="50"/>
      <c r="D4" s="50"/>
      <c r="E4" s="50"/>
      <c r="F4" s="50"/>
      <c r="G4" s="50"/>
      <c r="H4" s="50"/>
      <c r="I4" s="50"/>
      <c r="J4" s="50"/>
    </row>
    <row r="5" spans="1:10" ht="26.25">
      <c r="B5" s="55" t="str">
        <f>Cover!$B$5 &amp; " - "&amp;Cover!$H$3</f>
        <v>Non-life Template for the Risk-based Capital 2 Framework - 2020 v2</v>
      </c>
      <c r="C5" s="178"/>
    </row>
    <row r="6" spans="1:10" ht="15.75">
      <c r="B6" s="56" t="str">
        <f>Cover!$B$6</f>
        <v>Insurance Commission</v>
      </c>
      <c r="C6" s="179"/>
      <c r="D6" s="57"/>
      <c r="E6" s="57"/>
      <c r="F6" s="57"/>
    </row>
    <row r="7" spans="1:10" ht="15.75">
      <c r="B7" s="127" t="str">
        <f>Cover!D33</f>
        <v>Calculation of Currency Risk Charge</v>
      </c>
      <c r="C7" s="179"/>
      <c r="D7" s="57"/>
      <c r="E7" s="57"/>
      <c r="F7" s="57"/>
    </row>
    <row r="9" spans="1:10">
      <c r="B9" s="59" t="s">
        <v>155</v>
      </c>
      <c r="C9" s="649">
        <f>Cover!$C$9</f>
        <v>0</v>
      </c>
      <c r="D9" s="650"/>
    </row>
    <row r="10" spans="1:10">
      <c r="B10" s="59" t="s">
        <v>156</v>
      </c>
      <c r="C10" s="651">
        <f>Cover!$C$10</f>
        <v>0</v>
      </c>
      <c r="D10" s="652"/>
    </row>
    <row r="12" spans="1:10">
      <c r="B12" s="180" t="s">
        <v>103</v>
      </c>
      <c r="C12" s="180"/>
    </row>
    <row r="13" spans="1:10" ht="15" customHeight="1">
      <c r="B13" s="181" t="s">
        <v>104</v>
      </c>
      <c r="C13" s="181"/>
    </row>
    <row r="14" spans="1:10">
      <c r="B14" s="183" t="s">
        <v>151</v>
      </c>
      <c r="C14" s="184"/>
    </row>
    <row r="16" spans="1:10">
      <c r="B16" s="60" t="s">
        <v>285</v>
      </c>
    </row>
    <row r="17" spans="2:9" ht="30">
      <c r="B17" s="387" t="s">
        <v>275</v>
      </c>
      <c r="C17" s="386" t="s">
        <v>277</v>
      </c>
      <c r="D17" s="431" t="s">
        <v>278</v>
      </c>
      <c r="E17" s="386" t="s">
        <v>279</v>
      </c>
      <c r="F17" s="386" t="s">
        <v>282</v>
      </c>
      <c r="G17" s="386" t="s">
        <v>280</v>
      </c>
      <c r="H17" s="386" t="s">
        <v>281</v>
      </c>
      <c r="I17" s="386" t="s">
        <v>276</v>
      </c>
    </row>
    <row r="18" spans="2:9">
      <c r="B18" s="409" t="s">
        <v>22</v>
      </c>
      <c r="C18" s="412">
        <f>SUM(C19:C24)</f>
        <v>0</v>
      </c>
      <c r="D18" s="432">
        <f>SUM(D19:D24)</f>
        <v>0</v>
      </c>
      <c r="E18" s="412">
        <f>SUM(E19:E24)</f>
        <v>0</v>
      </c>
      <c r="F18" s="412"/>
      <c r="G18" s="412"/>
      <c r="H18" s="412"/>
      <c r="I18" s="412">
        <f>SUM(I19:I24)</f>
        <v>0</v>
      </c>
    </row>
    <row r="19" spans="2:9">
      <c r="B19" s="433" t="s">
        <v>300</v>
      </c>
      <c r="C19" s="29"/>
      <c r="D19" s="24"/>
      <c r="E19" s="434">
        <f t="shared" ref="E19:E24" si="0">+C19-D19</f>
        <v>0</v>
      </c>
      <c r="F19" s="435" t="str">
        <f t="shared" ref="F19:F24" si="1">+IF(E19&gt;0,"Positive",IF(E19=0,"","Negative"))</f>
        <v/>
      </c>
      <c r="G19" s="519">
        <v>0.1</v>
      </c>
      <c r="H19" s="520">
        <v>0.1</v>
      </c>
      <c r="I19" s="434">
        <f t="shared" ref="I19:I24" si="2">+IF(E19&gt;0,G19,H19)*ABS(E19)</f>
        <v>0</v>
      </c>
    </row>
    <row r="20" spans="2:9">
      <c r="B20" s="436" t="s">
        <v>301</v>
      </c>
      <c r="C20" s="30"/>
      <c r="D20" s="25"/>
      <c r="E20" s="437">
        <f t="shared" si="0"/>
        <v>0</v>
      </c>
      <c r="F20" s="438" t="str">
        <f t="shared" si="1"/>
        <v/>
      </c>
      <c r="G20" s="521">
        <v>0.17</v>
      </c>
      <c r="H20" s="522">
        <v>0.17</v>
      </c>
      <c r="I20" s="437">
        <f t="shared" si="2"/>
        <v>0</v>
      </c>
    </row>
    <row r="21" spans="2:9">
      <c r="B21" s="23" t="s">
        <v>299</v>
      </c>
      <c r="C21" s="30"/>
      <c r="D21" s="25"/>
      <c r="E21" s="437">
        <f t="shared" si="0"/>
        <v>0</v>
      </c>
      <c r="F21" s="438" t="str">
        <f t="shared" si="1"/>
        <v/>
      </c>
      <c r="G21" s="523">
        <v>0.17</v>
      </c>
      <c r="H21" s="524">
        <v>0.17</v>
      </c>
      <c r="I21" s="437">
        <f t="shared" si="2"/>
        <v>0</v>
      </c>
    </row>
    <row r="22" spans="2:9">
      <c r="B22" s="26"/>
      <c r="C22" s="30"/>
      <c r="D22" s="25"/>
      <c r="E22" s="437">
        <f t="shared" si="0"/>
        <v>0</v>
      </c>
      <c r="F22" s="438" t="str">
        <f t="shared" si="1"/>
        <v/>
      </c>
      <c r="G22" s="523">
        <v>0.17</v>
      </c>
      <c r="H22" s="524">
        <v>0.17</v>
      </c>
      <c r="I22" s="437">
        <f t="shared" si="2"/>
        <v>0</v>
      </c>
    </row>
    <row r="23" spans="2:9">
      <c r="B23" s="26"/>
      <c r="C23" s="30"/>
      <c r="D23" s="25"/>
      <c r="E23" s="437">
        <f t="shared" si="0"/>
        <v>0</v>
      </c>
      <c r="F23" s="438" t="str">
        <f t="shared" si="1"/>
        <v/>
      </c>
      <c r="G23" s="523">
        <v>0.17</v>
      </c>
      <c r="H23" s="524">
        <v>0.17</v>
      </c>
      <c r="I23" s="437">
        <f t="shared" si="2"/>
        <v>0</v>
      </c>
    </row>
    <row r="24" spans="2:9">
      <c r="B24" s="27"/>
      <c r="C24" s="31"/>
      <c r="D24" s="28"/>
      <c r="E24" s="439">
        <f t="shared" si="0"/>
        <v>0</v>
      </c>
      <c r="F24" s="440" t="str">
        <f t="shared" si="1"/>
        <v/>
      </c>
      <c r="G24" s="525">
        <v>0.17</v>
      </c>
      <c r="H24" s="526">
        <v>0.17</v>
      </c>
      <c r="I24" s="439">
        <f t="shared" si="2"/>
        <v>0</v>
      </c>
    </row>
  </sheetData>
  <sheetProtection algorithmName="SHA-512" hashValue="Jn1AB5zhjEjokGEuqjRohpNiIVYl4gDOEkpgEYEbmIP2SZmMdFAofd+KWJAFokVUQMtIqYAc97WneDh5WP68CA==" saltValue="iwthB1Rhpzt0hWE43NPfJg==" spinCount="100000" sheet="1" formatCells="0" formatColumns="0" insertHyperlinks="0" sort="0" autoFilter="0" pivotTables="0"/>
  <mergeCells count="2">
    <mergeCell ref="C9:D9"/>
    <mergeCell ref="C10:D10"/>
  </mergeCells>
  <pageMargins left="0.7" right="0.7" top="0.75" bottom="0.75" header="0.3" footer="0.3"/>
  <pageSetup paperSize="9" scale="79" fitToHeight="0" orientation="landscape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>
    <tabColor theme="5" tint="0.39997558519241921"/>
    <pageSetUpPr fitToPage="1"/>
  </sheetPr>
  <dimension ref="A1:I25"/>
  <sheetViews>
    <sheetView showGridLines="0" zoomScale="90" zoomScaleNormal="90" workbookViewId="0">
      <pane ySplit="10" topLeftCell="A11" activePane="bottomLeft" state="frozen"/>
      <selection activeCell="F34" sqref="F34"/>
      <selection pane="bottomLeft" activeCell="F34" sqref="F34"/>
    </sheetView>
  </sheetViews>
  <sheetFormatPr defaultColWidth="9.140625" defaultRowHeight="15"/>
  <cols>
    <col min="1" max="1" width="2.7109375" customWidth="1"/>
    <col min="2" max="2" width="27.140625" customWidth="1"/>
    <col min="3" max="5" width="23.5703125" customWidth="1"/>
    <col min="6" max="9" width="15.42578125" style="38" customWidth="1"/>
  </cols>
  <sheetData>
    <row r="1" spans="1:9">
      <c r="A1" s="10"/>
    </row>
    <row r="2" spans="1:9" ht="15.75">
      <c r="B2" s="337"/>
      <c r="C2" s="337"/>
      <c r="D2" s="337"/>
      <c r="E2" s="337"/>
      <c r="F2" s="338"/>
      <c r="G2" s="338"/>
      <c r="H2" s="338"/>
      <c r="I2" s="338"/>
    </row>
    <row r="3" spans="1:9" ht="15.75">
      <c r="B3" s="337"/>
      <c r="C3" s="337"/>
      <c r="D3" s="337"/>
      <c r="E3" s="337"/>
      <c r="F3" s="338"/>
      <c r="G3" s="338"/>
      <c r="H3" s="338"/>
      <c r="I3" s="338"/>
    </row>
    <row r="4" spans="1:9" ht="15.75">
      <c r="B4" s="337"/>
      <c r="C4" s="337"/>
      <c r="D4" s="337"/>
      <c r="E4" s="337"/>
      <c r="F4" s="338"/>
      <c r="G4" s="338"/>
      <c r="H4" s="338"/>
      <c r="I4" s="338"/>
    </row>
    <row r="5" spans="1:9" ht="26.25">
      <c r="B5" s="55" t="str">
        <f>Cover!$B$5 &amp; " - "&amp;Cover!$H$3</f>
        <v>Non-life Template for the Risk-based Capital 2 Framework - 2020 v2</v>
      </c>
    </row>
    <row r="6" spans="1:9" ht="15.75">
      <c r="B6" s="56" t="str">
        <f>Cover!$B$6</f>
        <v>Insurance Commission</v>
      </c>
    </row>
    <row r="7" spans="1:9" ht="15.75">
      <c r="B7" s="127" t="str">
        <f>Cover!D34</f>
        <v>Calculation of Operational Risk Charge</v>
      </c>
    </row>
    <row r="8" spans="1:9">
      <c r="D8" s="212"/>
    </row>
    <row r="9" spans="1:9">
      <c r="B9" s="59" t="s">
        <v>155</v>
      </c>
      <c r="C9" s="674">
        <f>Cover!$C$9</f>
        <v>0</v>
      </c>
      <c r="D9" s="675"/>
      <c r="E9" s="676"/>
    </row>
    <row r="10" spans="1:9">
      <c r="B10" s="59" t="s">
        <v>156</v>
      </c>
      <c r="C10" s="677">
        <f>Cover!$C$10</f>
        <v>0</v>
      </c>
      <c r="D10" s="678"/>
      <c r="E10" s="679"/>
    </row>
    <row r="11" spans="1:9">
      <c r="D11" s="212"/>
    </row>
    <row r="12" spans="1:9">
      <c r="B12" s="180" t="s">
        <v>103</v>
      </c>
      <c r="D12" s="212"/>
    </row>
    <row r="13" spans="1:9">
      <c r="B13" s="181" t="s">
        <v>104</v>
      </c>
      <c r="C13" s="182"/>
      <c r="D13" s="182"/>
    </row>
    <row r="14" spans="1:9">
      <c r="B14" s="183" t="s">
        <v>151</v>
      </c>
      <c r="C14" s="185"/>
      <c r="D14" s="185"/>
    </row>
    <row r="16" spans="1:9">
      <c r="B16" s="441" t="s">
        <v>106</v>
      </c>
      <c r="C16" s="442" t="s">
        <v>76</v>
      </c>
      <c r="D16" s="442" t="s">
        <v>77</v>
      </c>
      <c r="E16" s="442" t="s">
        <v>83</v>
      </c>
      <c r="F16"/>
    </row>
    <row r="17" spans="2:7">
      <c r="B17" s="443"/>
      <c r="C17" s="388"/>
      <c r="D17" s="410"/>
      <c r="E17" s="444">
        <f>MAX(E18:E19)</f>
        <v>0</v>
      </c>
      <c r="F17"/>
    </row>
    <row r="18" spans="2:7">
      <c r="B18" s="445" t="s">
        <v>302</v>
      </c>
      <c r="C18" s="39"/>
      <c r="D18" s="523">
        <v>0.01</v>
      </c>
      <c r="E18" s="446">
        <f>C18*D18</f>
        <v>0</v>
      </c>
      <c r="F18" s="221" t="str">
        <f>IF(C18=0,"CHECK","")</f>
        <v>CHECK</v>
      </c>
      <c r="G18" s="447" t="str">
        <f>IF(F18="","","Please enter GWP information")</f>
        <v>Please enter GWP information</v>
      </c>
    </row>
    <row r="19" spans="2:7">
      <c r="B19" s="448" t="s">
        <v>303</v>
      </c>
      <c r="C19" s="449">
        <f>IF(Input_Liability!D38=0,Input_Liability!C38,Input_Liability!D38)+IF(Input_Liability!F38=0,Input_Liability!E38,Input_Liability!F38)</f>
        <v>0</v>
      </c>
      <c r="D19" s="525">
        <v>0.01</v>
      </c>
      <c r="E19" s="450">
        <f>C19*D19</f>
        <v>0</v>
      </c>
    </row>
    <row r="24" spans="2:7">
      <c r="B24" s="451"/>
      <c r="C24" s="452"/>
      <c r="D24" s="452"/>
    </row>
    <row r="25" spans="2:7">
      <c r="B25" s="451"/>
      <c r="C25" s="452"/>
      <c r="D25" s="212"/>
    </row>
  </sheetData>
  <sheetProtection algorithmName="SHA-512" hashValue="/vY/a7fh6l7FPy5zP5lhp3AD9ID+fFRY1MlAaWUK0JbF8gCoBHnoUIJ2ELO3Icukwj/LYViG8+gvHscjV30qyQ==" saltValue="m0vevTH+0QSLj83PMLOZcA==" spinCount="100000" sheet="1" formatCells="0" formatColumns="0" insertHyperlinks="0" sort="0" autoFilter="0" pivotTables="0"/>
  <mergeCells count="2">
    <mergeCell ref="C9:E9"/>
    <mergeCell ref="C10:E10"/>
  </mergeCells>
  <conditionalFormatting sqref="F18">
    <cfRule type="cellIs" dxfId="1" priority="1" operator="equal">
      <formula>"CHECK"</formula>
    </cfRule>
  </conditionalFormatting>
  <pageMargins left="0.7" right="0.7" top="0.75" bottom="0.75" header="0.3" footer="0.3"/>
  <pageSetup paperSize="9" scale="89" fitToHeight="0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>
    <tabColor theme="5" tint="0.39997558519241921"/>
    <pageSetUpPr fitToPage="1"/>
  </sheetPr>
  <dimension ref="A1:O25"/>
  <sheetViews>
    <sheetView showGridLines="0" zoomScale="90" zoomScaleNormal="90" workbookViewId="0">
      <pane ySplit="10" topLeftCell="A11" activePane="bottomLeft" state="frozen"/>
      <selection activeCell="F34" sqref="F34"/>
      <selection pane="bottomLeft" activeCell="F34" sqref="F34"/>
    </sheetView>
  </sheetViews>
  <sheetFormatPr defaultColWidth="8.7109375" defaultRowHeight="15"/>
  <cols>
    <col min="1" max="1" width="2.7109375" customWidth="1"/>
    <col min="2" max="2" width="21" customWidth="1"/>
    <col min="3" max="3" width="9.28515625" customWidth="1"/>
    <col min="4" max="4" width="33.42578125" customWidth="1"/>
    <col min="5" max="6" width="18.140625" customWidth="1"/>
    <col min="7" max="7" width="30.28515625" bestFit="1" customWidth="1"/>
    <col min="8" max="8" width="16.140625" customWidth="1"/>
    <col min="9" max="15" width="14.5703125" customWidth="1"/>
  </cols>
  <sheetData>
    <row r="1" spans="1:15">
      <c r="A1" s="10"/>
    </row>
    <row r="2" spans="1:15" ht="15.75">
      <c r="B2" s="337"/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</row>
    <row r="3" spans="1:15" ht="15.75"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337"/>
      <c r="N3" s="337"/>
      <c r="O3" s="337"/>
    </row>
    <row r="4" spans="1:15" ht="15.75"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7"/>
    </row>
    <row r="5" spans="1:15" ht="26.25">
      <c r="B5" s="55" t="str">
        <f>Cover!$B$5 &amp; " - "&amp;Cover!$H$3</f>
        <v>Non-life Template for the Risk-based Capital 2 Framework - 2020 v2</v>
      </c>
      <c r="C5" s="178"/>
    </row>
    <row r="6" spans="1:15" ht="15.75">
      <c r="B6" s="56" t="str">
        <f>Cover!$B$6</f>
        <v>Insurance Commission</v>
      </c>
      <c r="C6" s="179"/>
    </row>
    <row r="7" spans="1:15" ht="15.75">
      <c r="B7" s="127" t="str">
        <f>Cover!D35</f>
        <v>Calculation of Catastrophe Risk Charge</v>
      </c>
      <c r="C7" s="179"/>
    </row>
    <row r="9" spans="1:15">
      <c r="B9" s="59" t="s">
        <v>155</v>
      </c>
      <c r="C9" s="498">
        <f>Cover!$C$9</f>
        <v>0</v>
      </c>
      <c r="D9" s="453"/>
    </row>
    <row r="10" spans="1:15">
      <c r="B10" s="59" t="s">
        <v>156</v>
      </c>
      <c r="C10" s="500">
        <f>Cover!$C$10</f>
        <v>0</v>
      </c>
      <c r="D10" s="454"/>
    </row>
    <row r="12" spans="1:15">
      <c r="B12" s="180" t="s">
        <v>103</v>
      </c>
      <c r="C12" s="180"/>
    </row>
    <row r="13" spans="1:15">
      <c r="B13" s="181" t="s">
        <v>104</v>
      </c>
      <c r="C13" s="181"/>
      <c r="D13" s="181"/>
    </row>
    <row r="14" spans="1:15">
      <c r="B14" s="183" t="s">
        <v>151</v>
      </c>
      <c r="C14" s="455"/>
      <c r="D14" s="455"/>
    </row>
    <row r="16" spans="1:15" ht="15" customHeight="1">
      <c r="B16" s="456" t="s">
        <v>375</v>
      </c>
      <c r="C16" s="457"/>
      <c r="D16" s="457"/>
      <c r="E16" s="457"/>
      <c r="F16" s="457"/>
      <c r="G16" s="458"/>
    </row>
    <row r="17" spans="1:7">
      <c r="A17" s="132"/>
      <c r="B17" s="459" t="s">
        <v>374</v>
      </c>
      <c r="C17" s="460"/>
      <c r="D17" s="460"/>
      <c r="E17" s="460"/>
      <c r="F17" s="460"/>
      <c r="G17" s="461"/>
    </row>
    <row r="18" spans="1:7">
      <c r="B18" s="462" t="s">
        <v>468</v>
      </c>
      <c r="C18" s="463"/>
      <c r="D18" s="463"/>
      <c r="E18" s="463"/>
      <c r="F18" s="463"/>
      <c r="G18" s="464"/>
    </row>
    <row r="19" spans="1:7">
      <c r="B19" s="462" t="s">
        <v>469</v>
      </c>
      <c r="C19" s="463"/>
      <c r="D19" s="463"/>
      <c r="E19" s="463"/>
      <c r="F19" s="463"/>
      <c r="G19" s="464"/>
    </row>
    <row r="20" spans="1:7">
      <c r="B20" s="465" t="s">
        <v>376</v>
      </c>
      <c r="C20" s="466"/>
      <c r="D20" s="466"/>
      <c r="E20" s="466"/>
      <c r="F20" s="466"/>
      <c r="G20" s="467"/>
    </row>
    <row r="22" spans="1:7" s="132" customFormat="1" ht="30">
      <c r="A22"/>
      <c r="B22" s="468" t="s">
        <v>319</v>
      </c>
      <c r="C22" s="469"/>
      <c r="D22" s="513" t="s">
        <v>476</v>
      </c>
      <c r="E22"/>
      <c r="F22"/>
      <c r="G22"/>
    </row>
    <row r="23" spans="1:7">
      <c r="B23" s="470" t="s">
        <v>95</v>
      </c>
      <c r="C23" s="471"/>
      <c r="D23" s="472">
        <f>MAX($D$24,$D$25,60%*SUM($D$24:$D$25))</f>
        <v>0</v>
      </c>
    </row>
    <row r="24" spans="1:7">
      <c r="B24" s="473" t="s">
        <v>308</v>
      </c>
      <c r="C24" s="474"/>
      <c r="D24" s="48"/>
      <c r="E24" s="221" t="str">
        <f>IF(D24=0,"CHECK","")</f>
        <v>CHECK</v>
      </c>
      <c r="F24" s="447" t="str">
        <f>IF(E24="","","Please enter "&amp;D22&amp;" on Earthquake")</f>
        <v>Please enter 1-in-200 return period losses of the AEP on Earthquake</v>
      </c>
    </row>
    <row r="25" spans="1:7">
      <c r="B25" s="475" t="s">
        <v>309</v>
      </c>
      <c r="C25" s="476"/>
      <c r="D25" s="49"/>
      <c r="E25" s="221" t="str">
        <f>IF(D25=0,"CHECK","")</f>
        <v>CHECK</v>
      </c>
      <c r="F25" s="447" t="str">
        <f>IF(E25="","","Please enter "&amp;D22&amp;" on Windstorm")</f>
        <v>Please enter 1-in-200 return period losses of the AEP on Windstorm</v>
      </c>
    </row>
  </sheetData>
  <sheetProtection algorithmName="SHA-512" hashValue="1HSDY/7tucfIxaoLfaGy9P69AnLt8ztj3nWIhZY+QeAk1+6DFzg2h8uap5MAUslgYJBYAgu5WTUsrEVpxErvfA==" saltValue="JsgufjJIYHqSJXQqdzBlkQ==" spinCount="100000" sheet="1" formatCells="0" formatColumns="0" insertHyperlinks="0" sort="0" autoFilter="0" pivotTables="0"/>
  <conditionalFormatting sqref="E24:E25">
    <cfRule type="cellIs" dxfId="0" priority="1" operator="equal">
      <formula>"CHECK"</formula>
    </cfRule>
  </conditionalFormatting>
  <pageMargins left="0.7" right="0.7" top="0.75" bottom="0.75" header="0.3" footer="0.3"/>
  <pageSetup paperSize="9" scale="87" fitToHeight="0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>
    <tabColor theme="9" tint="-0.499984740745262"/>
    <pageSetUpPr fitToPage="1"/>
  </sheetPr>
  <dimension ref="A1"/>
  <sheetViews>
    <sheetView zoomScale="90" zoomScaleNormal="90" workbookViewId="0">
      <selection activeCell="F34" sqref="F34"/>
    </sheetView>
  </sheetViews>
  <sheetFormatPr defaultColWidth="9.140625" defaultRowHeight="15"/>
  <cols>
    <col min="1" max="16384" width="9.140625" style="531"/>
  </cols>
  <sheetData/>
  <sheetProtection formatCells="0" formatColumns="0" insertHyperlinks="0" sort="0" autoFilter="0" pivotTables="0"/>
  <pageMargins left="0.7" right="0.7" top="0.75" bottom="0.75" header="0.3" footer="0.3"/>
  <pageSetup paperSize="9" fitToHeight="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theme="9" tint="0.79998168889431442"/>
    <pageSetUpPr fitToPage="1"/>
  </sheetPr>
  <dimension ref="A1:AF34"/>
  <sheetViews>
    <sheetView showGridLines="0" tabSelected="1" zoomScale="90" zoomScaleNormal="90" workbookViewId="0">
      <selection activeCell="E27" sqref="E27"/>
    </sheetView>
  </sheetViews>
  <sheetFormatPr defaultColWidth="9.140625" defaultRowHeight="15"/>
  <cols>
    <col min="1" max="1" width="3.140625" customWidth="1"/>
    <col min="2" max="2" width="37.85546875" customWidth="1"/>
    <col min="6" max="6" width="10.140625" bestFit="1" customWidth="1"/>
    <col min="9" max="9" width="12.140625" bestFit="1" customWidth="1"/>
    <col min="10" max="10" width="9.28515625" bestFit="1" customWidth="1"/>
    <col min="11" max="11" width="10.85546875" bestFit="1" customWidth="1"/>
    <col min="12" max="18" width="9.28515625" bestFit="1" customWidth="1"/>
  </cols>
  <sheetData>
    <row r="1" spans="1:32">
      <c r="A1" s="10"/>
    </row>
    <row r="2" spans="1:32" ht="15.75">
      <c r="B2" s="50"/>
      <c r="C2" s="50"/>
      <c r="D2" s="50"/>
      <c r="E2" s="50"/>
      <c r="F2" s="50"/>
      <c r="G2" s="50"/>
      <c r="H2" s="50"/>
      <c r="I2" s="50"/>
      <c r="J2" s="50"/>
    </row>
    <row r="3" spans="1:32" ht="15.75">
      <c r="B3" s="50"/>
      <c r="C3" s="50"/>
      <c r="D3" s="50"/>
      <c r="E3" s="50"/>
      <c r="F3" s="50"/>
      <c r="G3" s="50"/>
      <c r="H3" s="50"/>
      <c r="I3" s="50"/>
      <c r="J3" s="50"/>
    </row>
    <row r="4" spans="1:32" ht="15.75">
      <c r="B4" s="50"/>
      <c r="C4" s="50"/>
      <c r="D4" s="50"/>
      <c r="E4" s="50"/>
      <c r="F4" s="50"/>
      <c r="G4" s="50"/>
      <c r="H4" s="50"/>
      <c r="I4" s="50"/>
      <c r="J4" s="50"/>
    </row>
    <row r="5" spans="1:32" ht="26.25">
      <c r="B5" s="55" t="str">
        <f>Cover!$B$5 &amp; " - "&amp;Cover!$H$3</f>
        <v>Non-life Template for the Risk-based Capital 2 Framework - 2020 v2</v>
      </c>
      <c r="C5" s="178"/>
    </row>
    <row r="6" spans="1:32" ht="15.75">
      <c r="B6" s="56" t="str">
        <f>Cover!$B$6</f>
        <v>Insurance Commission</v>
      </c>
      <c r="C6" s="179"/>
      <c r="D6" s="57"/>
      <c r="E6" s="57"/>
      <c r="F6" s="57"/>
    </row>
    <row r="7" spans="1:32" ht="15.75">
      <c r="B7" s="127" t="str">
        <f>Cover!D36</f>
        <v>List of Risk Factors by Number of Outstanding Count for Receivables/Policies</v>
      </c>
      <c r="C7" s="179"/>
      <c r="D7" s="57"/>
      <c r="E7" s="57"/>
      <c r="F7" s="57"/>
    </row>
    <row r="8" spans="1:32"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</row>
    <row r="9" spans="1:32">
      <c r="B9" s="488" t="s">
        <v>475</v>
      </c>
      <c r="C9" s="489"/>
      <c r="D9" s="489"/>
      <c r="E9" s="489"/>
      <c r="F9" s="489"/>
      <c r="G9" s="490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60"/>
      <c r="AD9" s="60"/>
      <c r="AE9" s="60"/>
      <c r="AF9" s="60"/>
    </row>
    <row r="10" spans="1:32">
      <c r="B10" s="491" t="s">
        <v>298</v>
      </c>
      <c r="C10" s="680" t="s">
        <v>317</v>
      </c>
      <c r="D10" s="681"/>
      <c r="E10" s="681"/>
      <c r="F10" s="681"/>
      <c r="G10" s="682"/>
      <c r="I10" s="478"/>
      <c r="J10" s="126"/>
      <c r="K10" s="126"/>
      <c r="L10" s="126" t="s">
        <v>229</v>
      </c>
      <c r="M10" s="126" t="s">
        <v>230</v>
      </c>
      <c r="N10" s="126" t="s">
        <v>231</v>
      </c>
      <c r="O10" s="126" t="s">
        <v>232</v>
      </c>
      <c r="P10" s="126" t="s">
        <v>286</v>
      </c>
      <c r="Q10" s="126" t="s">
        <v>287</v>
      </c>
      <c r="R10" s="126" t="s">
        <v>288</v>
      </c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60"/>
      <c r="AD10" s="60"/>
      <c r="AE10" s="60"/>
      <c r="AF10" s="60"/>
    </row>
    <row r="11" spans="1:32">
      <c r="B11" s="492"/>
      <c r="C11" s="479">
        <v>1</v>
      </c>
      <c r="D11" s="479">
        <v>10</v>
      </c>
      <c r="E11" s="479">
        <v>100</v>
      </c>
      <c r="F11" s="479">
        <v>1000</v>
      </c>
      <c r="G11" s="479">
        <v>10000</v>
      </c>
      <c r="I11" s="478"/>
      <c r="J11" s="126">
        <v>1</v>
      </c>
      <c r="K11" s="126">
        <v>9</v>
      </c>
      <c r="L11" s="126">
        <v>5.1999999999999998E-2</v>
      </c>
      <c r="M11" s="126">
        <v>0.16700000000000001</v>
      </c>
      <c r="N11" s="126">
        <v>0.38200000000000001</v>
      </c>
      <c r="O11" s="126">
        <v>0.71199999999999997</v>
      </c>
      <c r="P11" s="126">
        <v>1</v>
      </c>
      <c r="Q11" s="126">
        <v>1</v>
      </c>
      <c r="R11" s="126">
        <v>1</v>
      </c>
      <c r="S11" s="126"/>
      <c r="T11" s="126" t="s">
        <v>229</v>
      </c>
      <c r="U11" s="126"/>
      <c r="V11" s="126"/>
      <c r="W11" s="126"/>
      <c r="X11" s="126"/>
      <c r="Y11" s="126"/>
      <c r="Z11" s="126"/>
      <c r="AA11" s="126"/>
      <c r="AB11" s="126"/>
      <c r="AC11" s="60"/>
      <c r="AD11" s="60"/>
      <c r="AE11" s="60"/>
      <c r="AF11" s="60"/>
    </row>
    <row r="12" spans="1:32">
      <c r="B12" s="480" t="s">
        <v>229</v>
      </c>
      <c r="C12" s="481">
        <v>5.1999999999999998E-2</v>
      </c>
      <c r="D12" s="481">
        <v>1.7000000000000001E-2</v>
      </c>
      <c r="E12" s="481">
        <v>6.0000000000000001E-3</v>
      </c>
      <c r="F12" s="481">
        <v>2E-3</v>
      </c>
      <c r="G12" s="481">
        <v>1E-3</v>
      </c>
      <c r="I12" s="478"/>
      <c r="J12" s="126">
        <v>10</v>
      </c>
      <c r="K12" s="126">
        <v>99</v>
      </c>
      <c r="L12" s="126">
        <v>1.7000000000000001E-2</v>
      </c>
      <c r="M12" s="126">
        <v>5.6000000000000001E-2</v>
      </c>
      <c r="N12" s="126">
        <v>0.13500000000000001</v>
      </c>
      <c r="O12" s="126">
        <v>0.27100000000000002</v>
      </c>
      <c r="P12" s="126">
        <v>0.47299999999999998</v>
      </c>
      <c r="Q12" s="126">
        <v>0.72099999999999997</v>
      </c>
      <c r="R12" s="126">
        <v>0.96399999999999997</v>
      </c>
      <c r="S12" s="126"/>
      <c r="T12" s="126" t="s">
        <v>230</v>
      </c>
      <c r="U12" s="126"/>
      <c r="V12" s="126"/>
      <c r="W12" s="126"/>
      <c r="X12" s="126"/>
      <c r="Y12" s="126"/>
      <c r="Z12" s="126"/>
      <c r="AA12" s="126"/>
      <c r="AB12" s="126"/>
      <c r="AC12" s="60"/>
      <c r="AD12" s="60"/>
      <c r="AE12" s="60"/>
      <c r="AF12" s="60"/>
    </row>
    <row r="13" spans="1:32">
      <c r="B13" s="482" t="s">
        <v>230</v>
      </c>
      <c r="C13" s="483">
        <v>0.16700000000000001</v>
      </c>
      <c r="D13" s="483">
        <v>5.6000000000000001E-2</v>
      </c>
      <c r="E13" s="483">
        <v>0.02</v>
      </c>
      <c r="F13" s="483">
        <v>8.9999999999999993E-3</v>
      </c>
      <c r="G13" s="483">
        <v>6.0000000000000001E-3</v>
      </c>
      <c r="I13" s="478"/>
      <c r="J13" s="126">
        <v>100</v>
      </c>
      <c r="K13" s="126">
        <v>999</v>
      </c>
      <c r="L13" s="126">
        <v>6.0000000000000001E-3</v>
      </c>
      <c r="M13" s="126">
        <v>0.02</v>
      </c>
      <c r="N13" s="126">
        <v>5.6000000000000001E-2</v>
      </c>
      <c r="O13" s="126">
        <v>0.13200000000000001</v>
      </c>
      <c r="P13" s="126">
        <v>0.26400000000000001</v>
      </c>
      <c r="Q13" s="126">
        <v>0.45800000000000002</v>
      </c>
      <c r="R13" s="126">
        <v>0.68799999999999994</v>
      </c>
      <c r="S13" s="126"/>
      <c r="T13" s="126" t="s">
        <v>231</v>
      </c>
      <c r="U13" s="126"/>
      <c r="V13" s="126"/>
      <c r="W13" s="126"/>
      <c r="X13" s="126"/>
      <c r="Y13" s="126"/>
      <c r="Z13" s="126"/>
      <c r="AA13" s="126"/>
      <c r="AB13" s="126"/>
      <c r="AC13" s="60"/>
      <c r="AD13" s="60"/>
      <c r="AE13" s="60"/>
      <c r="AF13" s="60"/>
    </row>
    <row r="14" spans="1:32">
      <c r="B14" s="482" t="s">
        <v>231</v>
      </c>
      <c r="C14" s="483">
        <v>0.38200000000000001</v>
      </c>
      <c r="D14" s="483">
        <v>0.13500000000000001</v>
      </c>
      <c r="E14" s="483">
        <v>5.6000000000000001E-2</v>
      </c>
      <c r="F14" s="483">
        <v>3.2000000000000001E-2</v>
      </c>
      <c r="G14" s="483">
        <v>2.4E-2</v>
      </c>
      <c r="I14" s="478"/>
      <c r="J14" s="126">
        <v>1000</v>
      </c>
      <c r="K14" s="126">
        <v>9999</v>
      </c>
      <c r="L14" s="126">
        <v>2E-3</v>
      </c>
      <c r="M14" s="126">
        <v>8.9999999999999993E-3</v>
      </c>
      <c r="N14" s="126">
        <v>3.2000000000000001E-2</v>
      </c>
      <c r="O14" s="126">
        <v>8.7999999999999995E-2</v>
      </c>
      <c r="P14" s="126">
        <v>0.19800000000000001</v>
      </c>
      <c r="Q14" s="126">
        <v>0.374</v>
      </c>
      <c r="R14" s="126">
        <v>0.6</v>
      </c>
      <c r="S14" s="126"/>
      <c r="T14" s="126" t="s">
        <v>232</v>
      </c>
      <c r="U14" s="126"/>
      <c r="V14" s="126"/>
      <c r="W14" s="126"/>
      <c r="X14" s="126"/>
      <c r="Y14" s="126"/>
      <c r="Z14" s="126"/>
      <c r="AA14" s="126"/>
      <c r="AB14" s="126"/>
      <c r="AC14" s="60"/>
      <c r="AD14" s="60"/>
      <c r="AE14" s="60"/>
      <c r="AF14" s="60"/>
    </row>
    <row r="15" spans="1:32">
      <c r="B15" s="482" t="s">
        <v>232</v>
      </c>
      <c r="C15" s="483">
        <v>0.71199999999999997</v>
      </c>
      <c r="D15" s="483">
        <v>0.27100000000000002</v>
      </c>
      <c r="E15" s="483">
        <v>0.13200000000000001</v>
      </c>
      <c r="F15" s="483">
        <v>8.7999999999999995E-2</v>
      </c>
      <c r="G15" s="483">
        <v>7.3999999999999996E-2</v>
      </c>
      <c r="J15" s="126">
        <v>10000</v>
      </c>
      <c r="K15" s="126">
        <f>9.99*10^307</f>
        <v>9.990000000000001E+307</v>
      </c>
      <c r="L15" s="126">
        <v>1E-3</v>
      </c>
      <c r="M15" s="126">
        <v>6.0000000000000001E-3</v>
      </c>
      <c r="N15" s="126">
        <v>2.4E-2</v>
      </c>
      <c r="O15" s="126">
        <v>7.3999999999999996E-2</v>
      </c>
      <c r="P15" s="126">
        <v>0.17799999999999999</v>
      </c>
      <c r="Q15" s="126">
        <v>0.34799999999999998</v>
      </c>
      <c r="R15" s="126">
        <v>0.57299999999999995</v>
      </c>
      <c r="S15" s="126"/>
      <c r="T15" s="126" t="s">
        <v>286</v>
      </c>
      <c r="U15" s="126"/>
      <c r="V15" s="126"/>
      <c r="W15" s="126"/>
      <c r="X15" s="126"/>
      <c r="Y15" s="126"/>
      <c r="Z15" s="126"/>
      <c r="AA15" s="126"/>
      <c r="AB15" s="126"/>
      <c r="AC15" s="60"/>
      <c r="AD15" s="60"/>
      <c r="AE15" s="60"/>
      <c r="AF15" s="60"/>
    </row>
    <row r="16" spans="1:32">
      <c r="B16" s="482" t="s">
        <v>286</v>
      </c>
      <c r="C16" s="483">
        <v>1</v>
      </c>
      <c r="D16" s="483">
        <v>0.47299999999999998</v>
      </c>
      <c r="E16" s="483">
        <v>0.26400000000000001</v>
      </c>
      <c r="F16" s="483">
        <v>0.19800000000000001</v>
      </c>
      <c r="G16" s="483">
        <v>0.17799999999999999</v>
      </c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 t="s">
        <v>287</v>
      </c>
      <c r="U16" s="126"/>
      <c r="V16" s="126"/>
      <c r="W16" s="126"/>
      <c r="X16" s="126"/>
      <c r="Y16" s="126"/>
      <c r="Z16" s="126"/>
      <c r="AA16" s="126"/>
      <c r="AB16" s="126"/>
      <c r="AC16" s="60"/>
      <c r="AD16" s="60"/>
      <c r="AE16" s="60"/>
      <c r="AF16" s="60"/>
    </row>
    <row r="17" spans="2:32">
      <c r="B17" s="482" t="s">
        <v>287</v>
      </c>
      <c r="C17" s="483">
        <v>1</v>
      </c>
      <c r="D17" s="483">
        <v>0.72099999999999997</v>
      </c>
      <c r="E17" s="483">
        <v>0.45800000000000002</v>
      </c>
      <c r="F17" s="483">
        <v>0.374</v>
      </c>
      <c r="G17" s="483">
        <v>0.34799999999999998</v>
      </c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 t="s">
        <v>288</v>
      </c>
      <c r="U17" s="126"/>
      <c r="V17" s="126"/>
      <c r="W17" s="126"/>
      <c r="X17" s="126"/>
      <c r="Y17" s="126"/>
      <c r="Z17" s="126"/>
      <c r="AA17" s="126"/>
      <c r="AB17" s="126"/>
      <c r="AC17" s="60"/>
      <c r="AD17" s="60"/>
      <c r="AE17" s="60"/>
      <c r="AF17" s="60"/>
    </row>
    <row r="18" spans="2:32">
      <c r="B18" s="484" t="s">
        <v>288</v>
      </c>
      <c r="C18" s="485">
        <v>1</v>
      </c>
      <c r="D18" s="485">
        <v>0.96399999999999997</v>
      </c>
      <c r="E18" s="485">
        <v>0.68799999999999994</v>
      </c>
      <c r="F18" s="485">
        <v>0.6</v>
      </c>
      <c r="G18" s="485">
        <v>0.57299999999999995</v>
      </c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60"/>
      <c r="AD18" s="60"/>
      <c r="AE18" s="60"/>
      <c r="AF18" s="60"/>
    </row>
    <row r="19" spans="2:32"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60"/>
      <c r="AD19" s="60"/>
      <c r="AE19" s="60"/>
      <c r="AF19" s="60"/>
    </row>
    <row r="20" spans="2:32"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60"/>
      <c r="AD20" s="60"/>
      <c r="AE20" s="60"/>
      <c r="AF20" s="60"/>
    </row>
    <row r="21" spans="2:32"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</row>
    <row r="22" spans="2:32"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</row>
    <row r="23" spans="2:32"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</row>
    <row r="24" spans="2:32"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</row>
    <row r="25" spans="2:32"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</row>
    <row r="26" spans="2:32"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</row>
    <row r="27" spans="2:32"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</row>
    <row r="34" spans="6:6">
      <c r="F34" t="s">
        <v>527</v>
      </c>
    </row>
  </sheetData>
  <sheetProtection formatCells="0" formatColumns="0" insertHyperlinks="0" sort="0" autoFilter="0" pivotTables="0"/>
  <mergeCells count="1">
    <mergeCell ref="C10:G10"/>
  </mergeCells>
  <pageMargins left="0.7" right="0.7" top="0.75" bottom="0.75" header="0.3" footer="0.3"/>
  <pageSetup paperSize="9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K82"/>
  <sheetViews>
    <sheetView showGridLines="0" zoomScale="90" zoomScaleNormal="90" workbookViewId="0">
      <selection activeCell="F34" sqref="F34"/>
    </sheetView>
  </sheetViews>
  <sheetFormatPr defaultColWidth="8.7109375" defaultRowHeight="15"/>
  <cols>
    <col min="1" max="1" width="2.7109375" customWidth="1"/>
    <col min="2" max="3" width="7" customWidth="1"/>
    <col min="4" max="4" width="18.42578125" customWidth="1"/>
    <col min="5" max="5" width="44.5703125" customWidth="1"/>
    <col min="6" max="6" width="16.85546875" bestFit="1" customWidth="1"/>
    <col min="7" max="7" width="15.5703125" customWidth="1"/>
    <col min="8" max="8" width="14.85546875" customWidth="1"/>
    <col min="9" max="85" width="17.5703125" customWidth="1"/>
  </cols>
  <sheetData>
    <row r="1" spans="1:11">
      <c r="A1" s="10"/>
    </row>
    <row r="2" spans="1:11" ht="15.75"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15.75"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15.75"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ht="26.25">
      <c r="B5" s="55" t="str">
        <f>Cover!$B$5 &amp; " - "&amp;Cover!$H$3</f>
        <v>Non-life Template for the Risk-based Capital 2 Framework - 2020 v2</v>
      </c>
      <c r="C5" s="55"/>
      <c r="D5" s="178"/>
    </row>
    <row r="6" spans="1:11" ht="15.75">
      <c r="B6" s="56" t="str">
        <f>Cover!$B$6</f>
        <v>Insurance Commission</v>
      </c>
      <c r="C6" s="56"/>
      <c r="D6" s="179"/>
      <c r="E6" s="57"/>
      <c r="F6" s="57"/>
      <c r="G6" s="57"/>
    </row>
    <row r="7" spans="1:11" ht="15.75">
      <c r="B7" s="127" t="str">
        <f>Cover!D29</f>
        <v>Calculation of Total Available Capital</v>
      </c>
      <c r="C7" s="127"/>
      <c r="D7" s="179"/>
      <c r="E7" s="57"/>
      <c r="F7" s="57"/>
      <c r="G7" s="57"/>
    </row>
    <row r="9" spans="1:11">
      <c r="B9" s="59" t="s">
        <v>155</v>
      </c>
      <c r="C9" s="59"/>
      <c r="D9" s="649">
        <f>Cover!$C$9</f>
        <v>0</v>
      </c>
      <c r="E9" s="650"/>
    </row>
    <row r="10" spans="1:11">
      <c r="B10" s="59" t="s">
        <v>156</v>
      </c>
      <c r="C10" s="59"/>
      <c r="D10" s="651">
        <f>Cover!$C$10</f>
        <v>0</v>
      </c>
      <c r="E10" s="652"/>
    </row>
    <row r="12" spans="1:11">
      <c r="B12" s="562" t="s">
        <v>453</v>
      </c>
      <c r="C12" s="563" t="s">
        <v>451</v>
      </c>
      <c r="D12" s="564"/>
      <c r="E12" s="564"/>
      <c r="F12" s="564"/>
      <c r="G12" s="564"/>
      <c r="H12" s="564"/>
      <c r="I12" s="565"/>
    </row>
    <row r="13" spans="1:11">
      <c r="B13" s="559" t="s">
        <v>454</v>
      </c>
      <c r="C13" s="532"/>
      <c r="D13" s="532"/>
      <c r="E13" s="532"/>
      <c r="F13" s="532"/>
      <c r="G13" s="532"/>
      <c r="H13" s="532"/>
      <c r="I13" s="533"/>
    </row>
    <row r="14" spans="1:11">
      <c r="B14" s="560"/>
      <c r="C14" s="534"/>
      <c r="D14" s="534"/>
      <c r="E14" s="534"/>
      <c r="F14" s="534"/>
      <c r="G14" s="534"/>
      <c r="H14" s="534"/>
      <c r="I14" s="535"/>
    </row>
    <row r="15" spans="1:11">
      <c r="B15" s="560"/>
      <c r="C15" s="534"/>
      <c r="D15" s="534"/>
      <c r="E15" s="534"/>
      <c r="F15" s="534"/>
      <c r="G15" s="534"/>
      <c r="H15" s="534"/>
      <c r="I15" s="535"/>
    </row>
    <row r="16" spans="1:11">
      <c r="B16" s="560"/>
      <c r="C16" s="534"/>
      <c r="D16" s="534"/>
      <c r="E16" s="534"/>
      <c r="F16" s="534"/>
      <c r="G16" s="534"/>
      <c r="H16" s="534"/>
      <c r="I16" s="535"/>
    </row>
    <row r="17" spans="2:9">
      <c r="B17" s="560"/>
      <c r="C17" s="534"/>
      <c r="D17" s="534"/>
      <c r="E17" s="534"/>
      <c r="F17" s="534"/>
      <c r="G17" s="534"/>
      <c r="H17" s="534"/>
      <c r="I17" s="535"/>
    </row>
    <row r="18" spans="2:9">
      <c r="B18" s="560"/>
      <c r="C18" s="534"/>
      <c r="D18" s="534"/>
      <c r="E18" s="534"/>
      <c r="F18" s="534"/>
      <c r="G18" s="534"/>
      <c r="H18" s="534"/>
      <c r="I18" s="535"/>
    </row>
    <row r="19" spans="2:9">
      <c r="B19" s="560"/>
      <c r="C19" s="534"/>
      <c r="D19" s="534"/>
      <c r="E19" s="534"/>
      <c r="F19" s="534"/>
      <c r="G19" s="534"/>
      <c r="H19" s="534"/>
      <c r="I19" s="535"/>
    </row>
    <row r="20" spans="2:9">
      <c r="B20" s="560"/>
      <c r="C20" s="534"/>
      <c r="D20" s="534"/>
      <c r="E20" s="534"/>
      <c r="F20" s="534"/>
      <c r="G20" s="534"/>
      <c r="H20" s="534"/>
      <c r="I20" s="535"/>
    </row>
    <row r="21" spans="2:9">
      <c r="B21" s="560"/>
      <c r="C21" s="534"/>
      <c r="D21" s="534"/>
      <c r="E21" s="534"/>
      <c r="F21" s="534"/>
      <c r="G21" s="534"/>
      <c r="H21" s="534"/>
      <c r="I21" s="535"/>
    </row>
    <row r="22" spans="2:9">
      <c r="B22" s="560"/>
      <c r="C22" s="534"/>
      <c r="D22" s="534"/>
      <c r="E22" s="534"/>
      <c r="F22" s="534"/>
      <c r="G22" s="534"/>
      <c r="H22" s="534"/>
      <c r="I22" s="535"/>
    </row>
    <row r="23" spans="2:9">
      <c r="B23" s="560"/>
      <c r="C23" s="534"/>
      <c r="D23" s="534"/>
      <c r="E23" s="534"/>
      <c r="F23" s="534"/>
      <c r="G23" s="534"/>
      <c r="H23" s="534"/>
      <c r="I23" s="535"/>
    </row>
    <row r="24" spans="2:9">
      <c r="B24" s="560"/>
      <c r="C24" s="534"/>
      <c r="D24" s="534"/>
      <c r="E24" s="534"/>
      <c r="F24" s="534"/>
      <c r="G24" s="534"/>
      <c r="H24" s="534"/>
      <c r="I24" s="535"/>
    </row>
    <row r="25" spans="2:9">
      <c r="B25" s="560"/>
      <c r="C25" s="534"/>
      <c r="D25" s="534"/>
      <c r="E25" s="534"/>
      <c r="F25" s="534"/>
      <c r="G25" s="534"/>
      <c r="H25" s="534"/>
      <c r="I25" s="535"/>
    </row>
    <row r="26" spans="2:9">
      <c r="B26" s="560"/>
      <c r="C26" s="534"/>
      <c r="D26" s="534"/>
      <c r="E26" s="534"/>
      <c r="F26" s="534"/>
      <c r="G26" s="534"/>
      <c r="H26" s="534"/>
      <c r="I26" s="535"/>
    </row>
    <row r="27" spans="2:9">
      <c r="B27" s="560"/>
      <c r="C27" s="534"/>
      <c r="D27" s="534"/>
      <c r="E27" s="534"/>
      <c r="F27" s="534"/>
      <c r="G27" s="534"/>
      <c r="H27" s="534"/>
      <c r="I27" s="535"/>
    </row>
    <row r="28" spans="2:9">
      <c r="B28" s="560"/>
      <c r="C28" s="534"/>
      <c r="D28" s="534"/>
      <c r="E28" s="534"/>
      <c r="F28" s="534"/>
      <c r="G28" s="534"/>
      <c r="H28" s="534"/>
      <c r="I28" s="535"/>
    </row>
    <row r="29" spans="2:9">
      <c r="B29" s="560"/>
      <c r="C29" s="534"/>
      <c r="D29" s="534"/>
      <c r="E29" s="534"/>
      <c r="F29" s="534"/>
      <c r="G29" s="534"/>
      <c r="H29" s="534"/>
      <c r="I29" s="535"/>
    </row>
    <row r="30" spans="2:9">
      <c r="B30" s="560"/>
      <c r="C30" s="534"/>
      <c r="D30" s="534"/>
      <c r="E30" s="534"/>
      <c r="F30" s="534"/>
      <c r="G30" s="534"/>
      <c r="H30" s="534"/>
      <c r="I30" s="535"/>
    </row>
    <row r="31" spans="2:9">
      <c r="B31" s="560"/>
      <c r="C31" s="534"/>
      <c r="D31" s="534"/>
      <c r="E31" s="534"/>
      <c r="F31" s="534"/>
      <c r="G31" s="534"/>
      <c r="H31" s="534"/>
      <c r="I31" s="535"/>
    </row>
    <row r="32" spans="2:9">
      <c r="B32" s="560"/>
      <c r="C32" s="534"/>
      <c r="D32" s="534"/>
      <c r="E32" s="534"/>
      <c r="F32" s="534"/>
      <c r="G32" s="534"/>
      <c r="H32" s="534"/>
      <c r="I32" s="535"/>
    </row>
    <row r="33" spans="2:9">
      <c r="B33" s="560"/>
      <c r="C33" s="534"/>
      <c r="D33" s="534"/>
      <c r="E33" s="534"/>
      <c r="F33" s="534"/>
      <c r="G33" s="534"/>
      <c r="H33" s="534"/>
      <c r="I33" s="535"/>
    </row>
    <row r="34" spans="2:9">
      <c r="B34" s="560"/>
      <c r="C34" s="534"/>
      <c r="D34" s="534"/>
      <c r="E34" s="534"/>
      <c r="F34" s="534"/>
      <c r="G34" s="534"/>
      <c r="H34" s="534"/>
      <c r="I34" s="535"/>
    </row>
    <row r="35" spans="2:9">
      <c r="B35" s="560"/>
      <c r="C35" s="534"/>
      <c r="D35" s="534"/>
      <c r="E35" s="534"/>
      <c r="F35" s="534"/>
      <c r="G35" s="534"/>
      <c r="H35" s="534"/>
      <c r="I35" s="535"/>
    </row>
    <row r="36" spans="2:9">
      <c r="B36" s="560"/>
      <c r="C36" s="534"/>
      <c r="D36" s="534"/>
      <c r="E36" s="534"/>
      <c r="F36" s="534"/>
      <c r="G36" s="534"/>
      <c r="H36" s="534"/>
      <c r="I36" s="535"/>
    </row>
    <row r="37" spans="2:9">
      <c r="B37" s="560"/>
      <c r="C37" s="534"/>
      <c r="D37" s="534"/>
      <c r="E37" s="534"/>
      <c r="F37" s="534"/>
      <c r="G37" s="534"/>
      <c r="H37" s="534"/>
      <c r="I37" s="535"/>
    </row>
    <row r="38" spans="2:9">
      <c r="B38" s="560"/>
      <c r="C38" s="534"/>
      <c r="D38" s="534"/>
      <c r="E38" s="534"/>
      <c r="F38" s="534"/>
      <c r="G38" s="534"/>
      <c r="H38" s="534"/>
      <c r="I38" s="535"/>
    </row>
    <row r="39" spans="2:9">
      <c r="B39" s="560"/>
      <c r="C39" s="534"/>
      <c r="D39" s="534"/>
      <c r="E39" s="534"/>
      <c r="F39" s="534"/>
      <c r="G39" s="534"/>
      <c r="H39" s="534"/>
      <c r="I39" s="535"/>
    </row>
    <row r="40" spans="2:9">
      <c r="B40" s="560"/>
      <c r="C40" s="534"/>
      <c r="D40" s="534"/>
      <c r="E40" s="534"/>
      <c r="F40" s="534"/>
      <c r="G40" s="534"/>
      <c r="H40" s="534"/>
      <c r="I40" s="535"/>
    </row>
    <row r="41" spans="2:9">
      <c r="B41" s="560"/>
      <c r="C41" s="534"/>
      <c r="D41" s="534"/>
      <c r="E41" s="534"/>
      <c r="F41" s="534"/>
      <c r="G41" s="534"/>
      <c r="H41" s="534"/>
      <c r="I41" s="535"/>
    </row>
    <row r="42" spans="2:9">
      <c r="B42" s="560"/>
      <c r="C42" s="534"/>
      <c r="D42" s="534"/>
      <c r="E42" s="534"/>
      <c r="F42" s="534"/>
      <c r="G42" s="534"/>
      <c r="H42" s="534"/>
      <c r="I42" s="535"/>
    </row>
    <row r="43" spans="2:9">
      <c r="B43" s="560"/>
      <c r="C43" s="534"/>
      <c r="D43" s="534"/>
      <c r="E43" s="534"/>
      <c r="F43" s="534"/>
      <c r="G43" s="534"/>
      <c r="H43" s="534"/>
      <c r="I43" s="535"/>
    </row>
    <row r="44" spans="2:9">
      <c r="B44" s="560"/>
      <c r="C44" s="534"/>
      <c r="D44" s="534"/>
      <c r="E44" s="534"/>
      <c r="F44" s="534"/>
      <c r="G44" s="534"/>
      <c r="H44" s="534"/>
      <c r="I44" s="535"/>
    </row>
    <row r="45" spans="2:9">
      <c r="B45" s="560"/>
      <c r="C45" s="534"/>
      <c r="D45" s="534"/>
      <c r="E45" s="534"/>
      <c r="F45" s="534"/>
      <c r="G45" s="534"/>
      <c r="H45" s="534"/>
      <c r="I45" s="535"/>
    </row>
    <row r="46" spans="2:9">
      <c r="B46" s="560"/>
      <c r="C46" s="534"/>
      <c r="D46" s="534"/>
      <c r="E46" s="534"/>
      <c r="F46" s="534"/>
      <c r="G46" s="534"/>
      <c r="H46" s="534"/>
      <c r="I46" s="535"/>
    </row>
    <row r="47" spans="2:9">
      <c r="B47" s="560"/>
      <c r="C47" s="534"/>
      <c r="D47" s="534"/>
      <c r="E47" s="534"/>
      <c r="F47" s="534"/>
      <c r="G47" s="534"/>
      <c r="H47" s="534"/>
      <c r="I47" s="535"/>
    </row>
    <row r="48" spans="2:9">
      <c r="B48" s="560"/>
      <c r="C48" s="534"/>
      <c r="D48" s="534"/>
      <c r="E48" s="534"/>
      <c r="F48" s="534"/>
      <c r="G48" s="534"/>
      <c r="H48" s="534"/>
      <c r="I48" s="535"/>
    </row>
    <row r="49" spans="2:9">
      <c r="B49" s="560"/>
      <c r="C49" s="534"/>
      <c r="D49" s="534"/>
      <c r="E49" s="534"/>
      <c r="F49" s="534"/>
      <c r="G49" s="534"/>
      <c r="H49" s="534"/>
      <c r="I49" s="535"/>
    </row>
    <row r="50" spans="2:9">
      <c r="B50" s="560"/>
      <c r="C50" s="534"/>
      <c r="D50" s="534"/>
      <c r="E50" s="534"/>
      <c r="F50" s="534"/>
      <c r="G50" s="534"/>
      <c r="H50" s="534"/>
      <c r="I50" s="535"/>
    </row>
    <row r="51" spans="2:9">
      <c r="B51" s="560"/>
      <c r="C51" s="534"/>
      <c r="D51" s="534"/>
      <c r="E51" s="534"/>
      <c r="F51" s="534"/>
      <c r="G51" s="534"/>
      <c r="H51" s="534"/>
      <c r="I51" s="535"/>
    </row>
    <row r="52" spans="2:9">
      <c r="B52" s="560"/>
      <c r="C52" s="534"/>
      <c r="D52" s="534"/>
      <c r="E52" s="534"/>
      <c r="F52" s="534"/>
      <c r="G52" s="534"/>
      <c r="H52" s="534"/>
      <c r="I52" s="535"/>
    </row>
    <row r="53" spans="2:9">
      <c r="B53" s="560"/>
      <c r="C53" s="534"/>
      <c r="D53" s="534"/>
      <c r="E53" s="534"/>
      <c r="F53" s="534"/>
      <c r="G53" s="534"/>
      <c r="H53" s="534"/>
      <c r="I53" s="535"/>
    </row>
    <row r="54" spans="2:9">
      <c r="B54" s="560"/>
      <c r="C54" s="534"/>
      <c r="D54" s="534"/>
      <c r="E54" s="534"/>
      <c r="F54" s="534"/>
      <c r="G54" s="534"/>
      <c r="H54" s="534"/>
      <c r="I54" s="535"/>
    </row>
    <row r="55" spans="2:9">
      <c r="B55" s="560"/>
      <c r="C55" s="534"/>
      <c r="D55" s="534"/>
      <c r="E55" s="534"/>
      <c r="F55" s="534"/>
      <c r="G55" s="534"/>
      <c r="H55" s="534"/>
      <c r="I55" s="535"/>
    </row>
    <row r="56" spans="2:9">
      <c r="B56" s="560"/>
      <c r="C56" s="534"/>
      <c r="D56" s="534"/>
      <c r="E56" s="534"/>
      <c r="F56" s="534"/>
      <c r="G56" s="534"/>
      <c r="H56" s="534"/>
      <c r="I56" s="535"/>
    </row>
    <row r="57" spans="2:9">
      <c r="B57" s="560"/>
      <c r="C57" s="534"/>
      <c r="D57" s="534"/>
      <c r="E57" s="534"/>
      <c r="F57" s="534"/>
      <c r="G57" s="534"/>
      <c r="H57" s="534"/>
      <c r="I57" s="535"/>
    </row>
    <row r="58" spans="2:9">
      <c r="B58" s="560"/>
      <c r="C58" s="534"/>
      <c r="D58" s="534"/>
      <c r="E58" s="534"/>
      <c r="F58" s="534"/>
      <c r="G58" s="534"/>
      <c r="H58" s="534"/>
      <c r="I58" s="535"/>
    </row>
    <row r="59" spans="2:9">
      <c r="B59" s="560"/>
      <c r="C59" s="534"/>
      <c r="D59" s="534"/>
      <c r="E59" s="534"/>
      <c r="F59" s="534"/>
      <c r="G59" s="534"/>
      <c r="H59" s="534"/>
      <c r="I59" s="535"/>
    </row>
    <row r="60" spans="2:9">
      <c r="B60" s="560"/>
      <c r="C60" s="534"/>
      <c r="D60" s="534"/>
      <c r="E60" s="534"/>
      <c r="F60" s="534"/>
      <c r="G60" s="534"/>
      <c r="H60" s="534"/>
      <c r="I60" s="535"/>
    </row>
    <row r="61" spans="2:9">
      <c r="B61" s="560"/>
      <c r="C61" s="534"/>
      <c r="D61" s="534"/>
      <c r="E61" s="534"/>
      <c r="F61" s="534"/>
      <c r="G61" s="534"/>
      <c r="H61" s="534"/>
      <c r="I61" s="535"/>
    </row>
    <row r="62" spans="2:9">
      <c r="B62" s="560"/>
      <c r="C62" s="534"/>
      <c r="D62" s="534"/>
      <c r="E62" s="534"/>
      <c r="F62" s="534"/>
      <c r="G62" s="534"/>
      <c r="H62" s="534"/>
      <c r="I62" s="535"/>
    </row>
    <row r="63" spans="2:9">
      <c r="B63" s="560"/>
      <c r="C63" s="534"/>
      <c r="D63" s="534"/>
      <c r="E63" s="534"/>
      <c r="F63" s="534"/>
      <c r="G63" s="534"/>
      <c r="H63" s="534"/>
      <c r="I63" s="535"/>
    </row>
    <row r="64" spans="2:9">
      <c r="B64" s="560"/>
      <c r="C64" s="534"/>
      <c r="D64" s="534"/>
      <c r="E64" s="534"/>
      <c r="F64" s="534"/>
      <c r="G64" s="534"/>
      <c r="H64" s="534"/>
      <c r="I64" s="535"/>
    </row>
    <row r="65" spans="2:9">
      <c r="B65" s="560"/>
      <c r="C65" s="534"/>
      <c r="D65" s="534"/>
      <c r="E65" s="534"/>
      <c r="F65" s="534"/>
      <c r="G65" s="534"/>
      <c r="H65" s="534"/>
      <c r="I65" s="535"/>
    </row>
    <row r="66" spans="2:9">
      <c r="B66" s="560"/>
      <c r="C66" s="534"/>
      <c r="D66" s="534"/>
      <c r="E66" s="534"/>
      <c r="F66" s="534"/>
      <c r="G66" s="534"/>
      <c r="H66" s="534"/>
      <c r="I66" s="535"/>
    </row>
    <row r="67" spans="2:9">
      <c r="B67" s="560"/>
      <c r="C67" s="534"/>
      <c r="D67" s="534"/>
      <c r="E67" s="534"/>
      <c r="F67" s="534"/>
      <c r="G67" s="534"/>
      <c r="H67" s="534"/>
      <c r="I67" s="535"/>
    </row>
    <row r="68" spans="2:9">
      <c r="B68" s="560"/>
      <c r="C68" s="534"/>
      <c r="D68" s="534"/>
      <c r="E68" s="534"/>
      <c r="F68" s="534"/>
      <c r="G68" s="534"/>
      <c r="H68" s="534"/>
      <c r="I68" s="535"/>
    </row>
    <row r="69" spans="2:9">
      <c r="B69" s="560"/>
      <c r="C69" s="534"/>
      <c r="D69" s="534"/>
      <c r="E69" s="534"/>
      <c r="F69" s="534"/>
      <c r="G69" s="534"/>
      <c r="H69" s="534"/>
      <c r="I69" s="535"/>
    </row>
    <row r="70" spans="2:9">
      <c r="B70" s="560"/>
      <c r="C70" s="534"/>
      <c r="D70" s="534"/>
      <c r="E70" s="534"/>
      <c r="F70" s="534"/>
      <c r="G70" s="534"/>
      <c r="H70" s="534"/>
      <c r="I70" s="535"/>
    </row>
    <row r="71" spans="2:9">
      <c r="B71" s="560"/>
      <c r="C71" s="534"/>
      <c r="D71" s="534"/>
      <c r="E71" s="534"/>
      <c r="F71" s="534"/>
      <c r="G71" s="534"/>
      <c r="H71" s="534"/>
      <c r="I71" s="535"/>
    </row>
    <row r="72" spans="2:9">
      <c r="B72" s="560"/>
      <c r="C72" s="534"/>
      <c r="D72" s="534"/>
      <c r="E72" s="534"/>
      <c r="F72" s="534"/>
      <c r="G72" s="534"/>
      <c r="H72" s="534"/>
      <c r="I72" s="535"/>
    </row>
    <row r="73" spans="2:9">
      <c r="B73" s="560"/>
      <c r="C73" s="534"/>
      <c r="D73" s="534"/>
      <c r="E73" s="534"/>
      <c r="F73" s="534"/>
      <c r="G73" s="534"/>
      <c r="H73" s="534"/>
      <c r="I73" s="535"/>
    </row>
    <row r="74" spans="2:9">
      <c r="B74" s="560"/>
      <c r="C74" s="534"/>
      <c r="D74" s="534"/>
      <c r="E74" s="534"/>
      <c r="F74" s="534"/>
      <c r="G74" s="534"/>
      <c r="H74" s="534"/>
      <c r="I74" s="535"/>
    </row>
    <row r="75" spans="2:9">
      <c r="B75" s="560"/>
      <c r="C75" s="534"/>
      <c r="D75" s="534"/>
      <c r="E75" s="534"/>
      <c r="F75" s="534"/>
      <c r="G75" s="534"/>
      <c r="H75" s="534"/>
      <c r="I75" s="535"/>
    </row>
    <row r="76" spans="2:9">
      <c r="B76" s="560"/>
      <c r="C76" s="534"/>
      <c r="D76" s="534"/>
      <c r="E76" s="534"/>
      <c r="F76" s="534"/>
      <c r="G76" s="534"/>
      <c r="H76" s="534"/>
      <c r="I76" s="535"/>
    </row>
    <row r="77" spans="2:9">
      <c r="B77" s="560"/>
      <c r="C77" s="534"/>
      <c r="D77" s="534"/>
      <c r="E77" s="534"/>
      <c r="F77" s="534"/>
      <c r="G77" s="534"/>
      <c r="H77" s="534"/>
      <c r="I77" s="535"/>
    </row>
    <row r="78" spans="2:9">
      <c r="B78" s="560"/>
      <c r="C78" s="534"/>
      <c r="D78" s="534"/>
      <c r="E78" s="534"/>
      <c r="F78" s="534"/>
      <c r="G78" s="534"/>
      <c r="H78" s="534"/>
      <c r="I78" s="535"/>
    </row>
    <row r="79" spans="2:9">
      <c r="B79" s="560"/>
      <c r="C79" s="534"/>
      <c r="D79" s="534"/>
      <c r="E79" s="534"/>
      <c r="F79" s="534"/>
      <c r="G79" s="534"/>
      <c r="H79" s="534"/>
      <c r="I79" s="535"/>
    </row>
    <row r="80" spans="2:9">
      <c r="B80" s="560"/>
      <c r="C80" s="534"/>
      <c r="D80" s="534"/>
      <c r="E80" s="534"/>
      <c r="F80" s="534"/>
      <c r="G80" s="534"/>
      <c r="H80" s="534"/>
      <c r="I80" s="535"/>
    </row>
    <row r="81" spans="2:9">
      <c r="B81" s="560"/>
      <c r="C81" s="534"/>
      <c r="D81" s="534"/>
      <c r="E81" s="534"/>
      <c r="F81" s="534"/>
      <c r="G81" s="534"/>
      <c r="H81" s="534"/>
      <c r="I81" s="535"/>
    </row>
    <row r="82" spans="2:9">
      <c r="B82" s="561"/>
      <c r="C82" s="536"/>
      <c r="D82" s="536"/>
      <c r="E82" s="536"/>
      <c r="F82" s="536"/>
      <c r="G82" s="536"/>
      <c r="H82" s="536"/>
      <c r="I82" s="537"/>
    </row>
  </sheetData>
  <sheetProtection algorithmName="SHA-512" hashValue="rkmNVG/jkKhclQhTLAC3PYtOMTsv0LvYaPelj7oLMH6E70VoYqnBye3fWwsn6XIfI9mcUr5C505zaHI9e6UyuA==" saltValue="PTM6GP6jhTHmYJ0oqhM2hg==" spinCount="100000" sheet="1" formatCells="0" formatColumns="0" insertHyperlinks="0" sort="0" autoFilter="0" pivotTables="0"/>
  <mergeCells count="2">
    <mergeCell ref="D9:E9"/>
    <mergeCell ref="D10:E10"/>
  </mergeCells>
  <pageMargins left="0.7" right="0.7" top="0.75" bottom="0.75" header="0.3" footer="0.3"/>
  <pageSetup paperSize="9" scale="6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rgb="FFC00000"/>
    <pageSetUpPr fitToPage="1"/>
  </sheetPr>
  <dimension ref="A1:G47"/>
  <sheetViews>
    <sheetView showGridLines="0" zoomScale="90" zoomScaleNormal="90" workbookViewId="0">
      <selection activeCell="F34" sqref="F34"/>
    </sheetView>
  </sheetViews>
  <sheetFormatPr defaultRowHeight="12"/>
  <cols>
    <col min="1" max="1" width="22.85546875" style="591" customWidth="1"/>
    <col min="2" max="2" width="20.5703125" style="591" customWidth="1"/>
    <col min="3" max="3" width="14.7109375" style="623" customWidth="1"/>
    <col min="4" max="4" width="18.85546875" style="645" customWidth="1"/>
    <col min="5" max="5" width="51.7109375" style="623" customWidth="1"/>
    <col min="6" max="6" width="22" style="591" customWidth="1"/>
    <col min="7" max="16384" width="9.140625" style="591"/>
  </cols>
  <sheetData>
    <row r="1" spans="1:7" ht="15">
      <c r="A1" s="590" t="s">
        <v>494</v>
      </c>
      <c r="B1" s="653" t="s">
        <v>495</v>
      </c>
      <c r="C1" s="653"/>
      <c r="D1" s="653"/>
      <c r="E1" s="653"/>
      <c r="F1" s="653"/>
    </row>
    <row r="2" spans="1:7" ht="18.75" customHeight="1">
      <c r="A2" s="590" t="s">
        <v>496</v>
      </c>
      <c r="B2" s="653" t="s">
        <v>523</v>
      </c>
      <c r="C2" s="653"/>
      <c r="D2" s="653"/>
      <c r="E2" s="653"/>
      <c r="F2" s="653"/>
      <c r="G2" s="592"/>
    </row>
    <row r="3" spans="1:7" ht="18.75" customHeight="1">
      <c r="A3" s="590" t="s">
        <v>497</v>
      </c>
      <c r="B3" s="653" t="s">
        <v>524</v>
      </c>
      <c r="C3" s="653"/>
      <c r="D3" s="653"/>
      <c r="E3" s="653"/>
      <c r="F3" s="653"/>
      <c r="G3" s="592"/>
    </row>
    <row r="4" spans="1:7" ht="18.75" customHeight="1">
      <c r="A4" s="590" t="s">
        <v>508</v>
      </c>
      <c r="B4" s="654">
        <v>44669</v>
      </c>
      <c r="C4" s="654"/>
      <c r="D4" s="654"/>
      <c r="E4" s="654"/>
      <c r="F4" s="654"/>
      <c r="G4" s="592"/>
    </row>
    <row r="5" spans="1:7" ht="15" thickBot="1">
      <c r="A5" s="593"/>
      <c r="B5" s="593"/>
      <c r="C5" s="594"/>
      <c r="D5" s="638"/>
      <c r="E5" s="594"/>
      <c r="F5" s="593"/>
    </row>
    <row r="6" spans="1:7" s="596" customFormat="1" ht="30.75" thickBot="1">
      <c r="A6" s="595" t="s">
        <v>498</v>
      </c>
      <c r="B6" s="595" t="s">
        <v>499</v>
      </c>
      <c r="C6" s="595" t="s">
        <v>500</v>
      </c>
      <c r="D6" s="639" t="s">
        <v>517</v>
      </c>
      <c r="E6" s="595" t="s">
        <v>501</v>
      </c>
      <c r="F6" s="595" t="s">
        <v>515</v>
      </c>
    </row>
    <row r="7" spans="1:7" ht="14.25">
      <c r="A7" s="597"/>
      <c r="B7" s="598"/>
      <c r="C7" s="599"/>
      <c r="D7" s="640"/>
      <c r="E7" s="628"/>
      <c r="F7" s="600"/>
    </row>
    <row r="8" spans="1:7" ht="57">
      <c r="A8" s="624" t="s">
        <v>350</v>
      </c>
      <c r="B8" s="625" t="s">
        <v>502</v>
      </c>
      <c r="C8" s="626" t="s">
        <v>503</v>
      </c>
      <c r="D8" s="641"/>
      <c r="E8" s="607" t="s">
        <v>505</v>
      </c>
      <c r="F8" s="634"/>
    </row>
    <row r="9" spans="1:7" ht="28.5">
      <c r="A9" s="624" t="s">
        <v>268</v>
      </c>
      <c r="B9" s="625" t="s">
        <v>504</v>
      </c>
      <c r="C9" s="626" t="s">
        <v>503</v>
      </c>
      <c r="D9" s="641"/>
      <c r="E9" s="636" t="s">
        <v>510</v>
      </c>
      <c r="F9" s="635"/>
    </row>
    <row r="10" spans="1:7" ht="14.25">
      <c r="A10" s="597" t="s">
        <v>119</v>
      </c>
      <c r="B10" s="598" t="s">
        <v>512</v>
      </c>
      <c r="C10" s="627" t="s">
        <v>514</v>
      </c>
      <c r="D10" s="640">
        <v>44048</v>
      </c>
      <c r="E10" s="629" t="s">
        <v>513</v>
      </c>
      <c r="F10" s="637" t="s">
        <v>516</v>
      </c>
    </row>
    <row r="11" spans="1:7" s="648" customFormat="1" ht="57">
      <c r="A11" s="624" t="s">
        <v>121</v>
      </c>
      <c r="B11" s="613" t="s">
        <v>521</v>
      </c>
      <c r="C11" s="626" t="s">
        <v>507</v>
      </c>
      <c r="D11" s="643">
        <v>44669</v>
      </c>
      <c r="E11" s="602" t="s">
        <v>519</v>
      </c>
      <c r="F11" s="647" t="s">
        <v>520</v>
      </c>
    </row>
    <row r="12" spans="1:7" ht="28.5">
      <c r="A12" s="624" t="s">
        <v>121</v>
      </c>
      <c r="B12" s="598" t="s">
        <v>522</v>
      </c>
      <c r="C12" s="626" t="s">
        <v>507</v>
      </c>
      <c r="D12" s="643">
        <v>44669</v>
      </c>
      <c r="E12" s="646" t="s">
        <v>525</v>
      </c>
      <c r="F12" s="647" t="s">
        <v>520</v>
      </c>
    </row>
    <row r="13" spans="1:7" ht="14.25">
      <c r="A13" s="597"/>
      <c r="B13" s="598"/>
      <c r="C13" s="599"/>
      <c r="D13" s="640"/>
      <c r="E13" s="628"/>
      <c r="F13" s="600"/>
    </row>
    <row r="14" spans="1:7" ht="14.25">
      <c r="A14" s="597"/>
      <c r="B14" s="598"/>
      <c r="C14" s="599"/>
      <c r="D14" s="640"/>
      <c r="E14" s="628"/>
      <c r="F14" s="600"/>
    </row>
    <row r="15" spans="1:7" ht="14.25">
      <c r="A15" s="597"/>
      <c r="B15" s="598"/>
      <c r="C15" s="599"/>
      <c r="D15" s="640"/>
      <c r="E15" s="628"/>
      <c r="F15" s="600"/>
    </row>
    <row r="16" spans="1:7" ht="14.25">
      <c r="A16" s="597"/>
      <c r="B16" s="598"/>
      <c r="C16" s="599"/>
      <c r="D16" s="640"/>
      <c r="E16" s="628"/>
      <c r="F16" s="600"/>
    </row>
    <row r="17" spans="1:6" ht="14.25">
      <c r="A17" s="597"/>
      <c r="B17" s="598"/>
      <c r="C17" s="599"/>
      <c r="D17" s="640"/>
      <c r="E17" s="628"/>
      <c r="F17" s="600"/>
    </row>
    <row r="18" spans="1:6" s="605" customFormat="1" ht="14.25">
      <c r="A18" s="601"/>
      <c r="B18" s="602"/>
      <c r="C18" s="603"/>
      <c r="D18" s="642"/>
      <c r="E18" s="603"/>
      <c r="F18" s="604"/>
    </row>
    <row r="19" spans="1:6" s="593" customFormat="1" ht="14.25">
      <c r="A19" s="597"/>
      <c r="B19" s="598"/>
      <c r="C19" s="603"/>
      <c r="D19" s="642"/>
      <c r="E19" s="603"/>
      <c r="F19" s="600"/>
    </row>
    <row r="20" spans="1:6" s="593" customFormat="1" ht="14.25">
      <c r="A20" s="597"/>
      <c r="B20" s="598"/>
      <c r="C20" s="603"/>
      <c r="D20" s="642"/>
      <c r="E20" s="603"/>
      <c r="F20" s="600"/>
    </row>
    <row r="21" spans="1:6" ht="14.25">
      <c r="A21" s="597"/>
      <c r="B21" s="598"/>
      <c r="C21" s="603"/>
      <c r="D21" s="642"/>
      <c r="E21" s="603"/>
      <c r="F21" s="600"/>
    </row>
    <row r="22" spans="1:6" ht="14.25">
      <c r="A22" s="597"/>
      <c r="B22" s="598"/>
      <c r="C22" s="603"/>
      <c r="D22" s="642"/>
      <c r="E22" s="603"/>
      <c r="F22" s="600"/>
    </row>
    <row r="23" spans="1:6" ht="14.25">
      <c r="A23" s="597"/>
      <c r="B23" s="598"/>
      <c r="C23" s="603"/>
      <c r="D23" s="642"/>
      <c r="E23" s="603"/>
      <c r="F23" s="600"/>
    </row>
    <row r="24" spans="1:6" ht="14.25">
      <c r="A24" s="597"/>
      <c r="B24" s="598"/>
      <c r="C24" s="603"/>
      <c r="D24" s="642"/>
      <c r="E24" s="603"/>
      <c r="F24" s="600"/>
    </row>
    <row r="25" spans="1:6" ht="14.25">
      <c r="A25" s="597"/>
      <c r="B25" s="598"/>
      <c r="C25" s="603"/>
      <c r="D25" s="642"/>
      <c r="E25" s="603"/>
      <c r="F25" s="600"/>
    </row>
    <row r="26" spans="1:6" ht="14.25">
      <c r="A26" s="597"/>
      <c r="B26" s="598"/>
      <c r="C26" s="603"/>
      <c r="D26" s="642"/>
      <c r="E26" s="603"/>
      <c r="F26" s="600"/>
    </row>
    <row r="27" spans="1:6" ht="14.25">
      <c r="A27" s="597"/>
      <c r="B27" s="598"/>
      <c r="C27" s="603"/>
      <c r="D27" s="642"/>
      <c r="E27" s="603"/>
      <c r="F27" s="600"/>
    </row>
    <row r="28" spans="1:6" ht="14.25">
      <c r="A28" s="597"/>
      <c r="B28" s="598"/>
      <c r="C28" s="603"/>
      <c r="D28" s="642"/>
      <c r="E28" s="603"/>
      <c r="F28" s="600"/>
    </row>
    <row r="29" spans="1:6" ht="14.25">
      <c r="A29" s="597"/>
      <c r="B29" s="598"/>
      <c r="C29" s="603"/>
      <c r="D29" s="642"/>
      <c r="E29" s="603"/>
      <c r="F29" s="600"/>
    </row>
    <row r="30" spans="1:6" ht="14.25">
      <c r="A30" s="597"/>
      <c r="B30" s="598"/>
      <c r="C30" s="603"/>
      <c r="D30" s="642"/>
      <c r="E30" s="603"/>
      <c r="F30" s="600"/>
    </row>
    <row r="31" spans="1:6" ht="14.25">
      <c r="A31" s="597"/>
      <c r="B31" s="598"/>
      <c r="C31" s="603"/>
      <c r="D31" s="642"/>
      <c r="E31" s="603"/>
      <c r="F31" s="600"/>
    </row>
    <row r="32" spans="1:6" ht="14.25">
      <c r="A32" s="597"/>
      <c r="B32" s="598"/>
      <c r="C32" s="603"/>
      <c r="D32" s="642"/>
      <c r="E32" s="603"/>
      <c r="F32" s="600"/>
    </row>
    <row r="33" spans="1:6" ht="28.5" customHeight="1">
      <c r="A33" s="606"/>
      <c r="B33" s="607"/>
      <c r="C33" s="603"/>
      <c r="D33" s="642"/>
      <c r="E33" s="603"/>
      <c r="F33" s="608"/>
    </row>
    <row r="34" spans="1:6" ht="14.25">
      <c r="A34" s="606"/>
      <c r="B34" s="609"/>
      <c r="C34" s="603"/>
      <c r="D34" s="642"/>
      <c r="E34" s="603"/>
      <c r="F34" s="608"/>
    </row>
    <row r="35" spans="1:6" ht="14.25">
      <c r="A35" s="606"/>
      <c r="B35" s="609"/>
      <c r="C35" s="603"/>
      <c r="D35" s="642"/>
      <c r="E35" s="603"/>
      <c r="F35" s="608"/>
    </row>
    <row r="36" spans="1:6" ht="14.25">
      <c r="A36" s="606"/>
      <c r="B36" s="609"/>
      <c r="C36" s="610"/>
      <c r="D36" s="642"/>
      <c r="E36" s="603"/>
      <c r="F36" s="608"/>
    </row>
    <row r="37" spans="1:6" ht="14.25">
      <c r="A37" s="597"/>
      <c r="B37" s="598"/>
      <c r="C37" s="599"/>
      <c r="D37" s="640"/>
      <c r="E37" s="628"/>
      <c r="F37" s="600"/>
    </row>
    <row r="38" spans="1:6" s="593" customFormat="1" ht="14.25">
      <c r="A38" s="597"/>
      <c r="B38" s="598"/>
      <c r="C38" s="611"/>
      <c r="D38" s="643"/>
      <c r="E38" s="630"/>
      <c r="F38" s="600"/>
    </row>
    <row r="39" spans="1:6" s="593" customFormat="1" ht="14.25">
      <c r="A39" s="597"/>
      <c r="B39" s="598"/>
      <c r="C39" s="611"/>
      <c r="D39" s="643"/>
      <c r="E39" s="630"/>
      <c r="F39" s="600"/>
    </row>
    <row r="40" spans="1:6" s="605" customFormat="1" ht="14.25">
      <c r="A40" s="612"/>
      <c r="B40" s="613"/>
      <c r="C40" s="610"/>
      <c r="D40" s="642"/>
      <c r="E40" s="603"/>
      <c r="F40" s="604"/>
    </row>
    <row r="41" spans="1:6" s="605" customFormat="1" ht="14.25">
      <c r="A41" s="614"/>
      <c r="B41" s="615"/>
      <c r="C41" s="616"/>
      <c r="D41" s="642"/>
      <c r="E41" s="631"/>
      <c r="F41" s="617"/>
    </row>
    <row r="42" spans="1:6" s="605" customFormat="1" ht="14.25">
      <c r="A42" s="612"/>
      <c r="B42" s="613"/>
      <c r="C42" s="618"/>
      <c r="D42" s="642"/>
      <c r="E42" s="632"/>
      <c r="F42" s="604"/>
    </row>
    <row r="43" spans="1:6" s="605" customFormat="1" ht="14.25">
      <c r="A43" s="612"/>
      <c r="B43" s="613"/>
      <c r="C43" s="610"/>
      <c r="D43" s="642"/>
      <c r="E43" s="603"/>
      <c r="F43" s="604"/>
    </row>
    <row r="44" spans="1:6" s="605" customFormat="1" ht="14.25">
      <c r="A44" s="601"/>
      <c r="B44" s="602"/>
      <c r="C44" s="603"/>
      <c r="D44" s="642"/>
      <c r="E44" s="603"/>
      <c r="F44" s="604"/>
    </row>
    <row r="45" spans="1:6" s="605" customFormat="1" ht="14.25">
      <c r="A45" s="601"/>
      <c r="B45" s="602"/>
      <c r="C45" s="603"/>
      <c r="D45" s="642"/>
      <c r="E45" s="603"/>
      <c r="F45" s="604"/>
    </row>
    <row r="46" spans="1:6" ht="14.25">
      <c r="A46" s="597"/>
      <c r="B46" s="598"/>
      <c r="C46" s="599"/>
      <c r="D46" s="640"/>
      <c r="E46" s="628"/>
      <c r="F46" s="600"/>
    </row>
    <row r="47" spans="1:6" ht="15" thickBot="1">
      <c r="A47" s="619"/>
      <c r="B47" s="620"/>
      <c r="C47" s="621"/>
      <c r="D47" s="644"/>
      <c r="E47" s="633"/>
      <c r="F47" s="622"/>
    </row>
  </sheetData>
  <sheetProtection algorithmName="SHA-512" hashValue="vX6j82mQQ2/v0MLAiBEmBj8JIGq0wf48Kw8i7QgGy0/tF4OspKOnAIz+cqRaSBs/eUcqLgD2yjFrQuem0Y6yfA==" saltValue="fD4pDSF3WKVacnjwyZ4Bpg==" spinCount="100000" sheet="1" objects="1" scenarios="1"/>
  <mergeCells count="4">
    <mergeCell ref="B1:F1"/>
    <mergeCell ref="B2:F2"/>
    <mergeCell ref="B3:F3"/>
    <mergeCell ref="B4:F4"/>
  </mergeCells>
  <pageMargins left="0.7" right="0.7" top="0.75" bottom="0.75" header="0.3" footer="0.3"/>
  <pageSetup paperSize="9" scale="58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1">
    <tabColor rgb="FFFF6600"/>
    <pageSetUpPr fitToPage="1"/>
  </sheetPr>
  <dimension ref="A1:BC56"/>
  <sheetViews>
    <sheetView showGridLines="0" zoomScale="90" zoomScaleNormal="90" workbookViewId="0">
      <selection activeCell="C42" sqref="C42"/>
    </sheetView>
  </sheetViews>
  <sheetFormatPr defaultColWidth="9.140625" defaultRowHeight="15"/>
  <cols>
    <col min="1" max="1" width="2.7109375" customWidth="1"/>
    <col min="2" max="2" width="5" customWidth="1"/>
    <col min="3" max="3" width="20.5703125" customWidth="1"/>
    <col min="4" max="4" width="32.5703125" customWidth="1"/>
    <col min="5" max="5" width="18.85546875" customWidth="1"/>
    <col min="6" max="6" width="1.28515625" customWidth="1"/>
    <col min="7" max="7" width="3.42578125" customWidth="1"/>
    <col min="8" max="8" width="3.28515625" customWidth="1"/>
    <col min="9" max="9" width="20.5703125" customWidth="1"/>
    <col min="10" max="10" width="32.5703125" customWidth="1"/>
    <col min="11" max="11" width="18.7109375" customWidth="1"/>
    <col min="12" max="13" width="2.7109375" customWidth="1"/>
    <col min="14" max="14" width="8.140625" bestFit="1" customWidth="1"/>
    <col min="15" max="15" width="17.5703125" customWidth="1"/>
    <col min="16" max="16" width="3.140625" bestFit="1" customWidth="1"/>
    <col min="17" max="23" width="12.85546875" bestFit="1" customWidth="1"/>
    <col min="24" max="84" width="17.5703125" customWidth="1"/>
  </cols>
  <sheetData>
    <row r="1" spans="1:15">
      <c r="A1" s="10"/>
    </row>
    <row r="2" spans="1:15" ht="15.75"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</row>
    <row r="3" spans="1:15" ht="15.7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5" ht="15.75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26.25">
      <c r="B5" s="55" t="str">
        <f>Cover!$B$5 &amp; " - "&amp;Cover!$H$3</f>
        <v>Non-life Template for the Risk-based Capital 2 Framework - 2020 v2</v>
      </c>
      <c r="C5" s="55"/>
      <c r="I5" s="50"/>
      <c r="J5" s="50"/>
    </row>
    <row r="6" spans="1:15" ht="15.75">
      <c r="B6" s="56" t="str">
        <f>Cover!B6</f>
        <v>Insurance Commission</v>
      </c>
      <c r="C6" s="56"/>
      <c r="D6" s="57"/>
      <c r="E6" s="57"/>
      <c r="F6" s="57"/>
      <c r="I6" s="50"/>
      <c r="J6" s="50"/>
      <c r="L6" s="57"/>
    </row>
    <row r="7" spans="1:15" ht="15.75">
      <c r="B7" s="58" t="str">
        <f>Cover!D26</f>
        <v>Summary of results</v>
      </c>
      <c r="C7" s="58"/>
      <c r="D7" s="57"/>
      <c r="E7" s="57"/>
      <c r="F7" s="57"/>
      <c r="I7" s="50"/>
      <c r="J7" s="50"/>
      <c r="L7" s="57"/>
    </row>
    <row r="8" spans="1:15" ht="15.75">
      <c r="B8" s="58"/>
      <c r="C8" s="58"/>
      <c r="D8" s="57"/>
      <c r="E8" s="57"/>
      <c r="F8" s="57"/>
      <c r="I8" s="50"/>
      <c r="J8" s="50"/>
      <c r="L8" s="57"/>
    </row>
    <row r="9" spans="1:15" ht="15.75">
      <c r="B9" s="59" t="s">
        <v>155</v>
      </c>
      <c r="D9" s="649">
        <f>Cover!$C$9</f>
        <v>0</v>
      </c>
      <c r="E9" s="650"/>
      <c r="F9" s="57"/>
      <c r="I9" s="50"/>
      <c r="J9" s="50"/>
      <c r="L9" s="102"/>
    </row>
    <row r="10" spans="1:15" ht="15.75">
      <c r="B10" s="59" t="s">
        <v>310</v>
      </c>
      <c r="D10" s="651">
        <f>Cover!$C$10</f>
        <v>0</v>
      </c>
      <c r="E10" s="652"/>
      <c r="F10" s="57"/>
      <c r="I10" s="50"/>
      <c r="J10" s="50"/>
      <c r="L10" s="103"/>
    </row>
    <row r="11" spans="1:15" ht="7.5" customHeight="1">
      <c r="B11" s="58"/>
      <c r="C11" s="58"/>
      <c r="D11" s="57"/>
      <c r="E11" s="57"/>
      <c r="F11" s="57"/>
      <c r="I11" s="50"/>
      <c r="J11" s="50"/>
      <c r="L11" s="57"/>
    </row>
    <row r="12" spans="1:15">
      <c r="B12" s="104" t="s">
        <v>116</v>
      </c>
      <c r="C12" s="105"/>
      <c r="D12" s="105"/>
      <c r="E12" s="105"/>
      <c r="F12" s="106"/>
      <c r="G12" s="107"/>
    </row>
    <row r="13" spans="1:15" ht="7.5" customHeight="1">
      <c r="B13" s="108"/>
      <c r="C13" s="107"/>
      <c r="D13" s="107"/>
      <c r="E13" s="107"/>
      <c r="F13" s="109"/>
      <c r="G13" s="107"/>
    </row>
    <row r="14" spans="1:15" ht="7.5" customHeight="1">
      <c r="B14" s="108"/>
      <c r="C14" s="107"/>
      <c r="D14" s="107"/>
      <c r="E14" s="107"/>
      <c r="F14" s="109"/>
      <c r="G14" s="107"/>
    </row>
    <row r="15" spans="1:15" ht="7.5" customHeight="1">
      <c r="B15" s="108"/>
      <c r="C15" s="107"/>
      <c r="D15" s="107"/>
      <c r="E15" s="107"/>
      <c r="F15" s="109"/>
      <c r="G15" s="107"/>
    </row>
    <row r="16" spans="1:15">
      <c r="B16" s="108" t="s">
        <v>11</v>
      </c>
      <c r="C16" s="107"/>
      <c r="D16" s="107"/>
      <c r="E16" s="529">
        <f>E17+E18-E19</f>
        <v>0</v>
      </c>
      <c r="F16" s="109"/>
      <c r="G16" s="107"/>
      <c r="N16" s="107"/>
    </row>
    <row r="17" spans="1:15">
      <c r="B17" s="110"/>
      <c r="C17" s="107" t="s">
        <v>12</v>
      </c>
      <c r="D17" s="107"/>
      <c r="E17" s="528">
        <f>Input_Capital!E18</f>
        <v>0</v>
      </c>
      <c r="F17" s="109"/>
      <c r="G17" s="107"/>
      <c r="N17" s="111"/>
    </row>
    <row r="18" spans="1:15">
      <c r="B18" s="110"/>
      <c r="C18" s="107" t="s">
        <v>13</v>
      </c>
      <c r="D18" s="107"/>
      <c r="E18" s="528">
        <f>Input_Capital!E35</f>
        <v>0</v>
      </c>
      <c r="F18" s="109"/>
      <c r="G18" s="107"/>
      <c r="N18" s="111"/>
      <c r="O18" s="107"/>
    </row>
    <row r="19" spans="1:15">
      <c r="B19" s="110"/>
      <c r="C19" s="107" t="s">
        <v>14</v>
      </c>
      <c r="D19" s="107"/>
      <c r="E19" s="528">
        <f>Input_Capital!E44</f>
        <v>0</v>
      </c>
      <c r="F19" s="109"/>
      <c r="G19" s="107"/>
      <c r="N19" s="111"/>
      <c r="O19" s="107"/>
    </row>
    <row r="20" spans="1:15" ht="7.5" customHeight="1">
      <c r="B20" s="110"/>
      <c r="C20" s="107"/>
      <c r="D20" s="107"/>
      <c r="E20" s="107"/>
      <c r="F20" s="109"/>
      <c r="G20" s="107"/>
      <c r="N20" s="111"/>
      <c r="O20" s="107"/>
    </row>
    <row r="21" spans="1:15">
      <c r="A21" s="12"/>
      <c r="B21" s="108" t="s">
        <v>350</v>
      </c>
      <c r="C21" s="107"/>
      <c r="D21" s="107"/>
      <c r="E21" s="529">
        <f>SQRT(E22^2+E23^2+E24^2+E25^2+E27^2)+E26</f>
        <v>0</v>
      </c>
      <c r="F21" s="109"/>
      <c r="G21" s="107"/>
      <c r="N21" s="111"/>
      <c r="O21" s="107"/>
    </row>
    <row r="22" spans="1:15">
      <c r="A22" s="12"/>
      <c r="B22" s="112" t="s">
        <v>138</v>
      </c>
      <c r="C22" s="107" t="s">
        <v>8</v>
      </c>
      <c r="D22" s="107"/>
      <c r="E22" s="528">
        <f>SUM('RBC Requirement'!E17:E21)</f>
        <v>0</v>
      </c>
      <c r="F22" s="109"/>
      <c r="G22" s="107"/>
      <c r="N22" s="111"/>
      <c r="O22" s="107"/>
    </row>
    <row r="23" spans="1:15">
      <c r="A23" s="12"/>
      <c r="B23" s="112" t="s">
        <v>139</v>
      </c>
      <c r="C23" s="107" t="s">
        <v>5</v>
      </c>
      <c r="D23" s="107"/>
      <c r="E23" s="528">
        <f>SUM('RBC Requirement'!E24:E25)</f>
        <v>0</v>
      </c>
      <c r="F23" s="109"/>
      <c r="G23" s="107"/>
      <c r="N23" s="111"/>
      <c r="O23" s="107"/>
    </row>
    <row r="24" spans="1:15">
      <c r="A24" s="12"/>
      <c r="B24" s="579" t="s">
        <v>466</v>
      </c>
      <c r="C24" s="107" t="s">
        <v>464</v>
      </c>
      <c r="D24" s="107"/>
      <c r="E24" s="528">
        <f>'RBC Requirement'!E29</f>
        <v>0</v>
      </c>
      <c r="F24" s="109"/>
      <c r="G24" s="107"/>
      <c r="N24" s="111"/>
      <c r="O24" s="107"/>
    </row>
    <row r="25" spans="1:15">
      <c r="A25" s="12"/>
      <c r="B25" s="112" t="s">
        <v>467</v>
      </c>
      <c r="C25" s="107" t="s">
        <v>465</v>
      </c>
      <c r="D25" s="107"/>
      <c r="E25" s="528">
        <f>SUM('RBC Requirement'!E28:E32)-E24</f>
        <v>0</v>
      </c>
      <c r="F25" s="109"/>
      <c r="G25" s="107"/>
      <c r="N25" s="111"/>
      <c r="O25" s="107"/>
    </row>
    <row r="26" spans="1:15">
      <c r="A26" s="12"/>
      <c r="B26" s="112" t="s">
        <v>141</v>
      </c>
      <c r="C26" s="107" t="s">
        <v>9</v>
      </c>
      <c r="D26" s="107"/>
      <c r="E26" s="528">
        <f>SUM('RBC Requirement'!E35)</f>
        <v>0</v>
      </c>
      <c r="F26" s="109"/>
      <c r="G26" s="107"/>
      <c r="N26" s="111"/>
      <c r="O26" s="107"/>
    </row>
    <row r="27" spans="1:15">
      <c r="A27" s="12"/>
      <c r="B27" s="112" t="s">
        <v>142</v>
      </c>
      <c r="C27" s="107" t="s">
        <v>95</v>
      </c>
      <c r="D27" s="107"/>
      <c r="E27" s="528">
        <f>'RBC Requirement'!E38</f>
        <v>0</v>
      </c>
      <c r="F27" s="109"/>
      <c r="G27" s="107"/>
      <c r="N27" s="111"/>
      <c r="O27" s="107"/>
    </row>
    <row r="28" spans="1:15" ht="7.5" customHeight="1">
      <c r="A28" s="12"/>
      <c r="B28" s="110"/>
      <c r="C28" s="107"/>
      <c r="D28" s="107"/>
      <c r="E28" s="107"/>
      <c r="F28" s="109"/>
      <c r="G28" s="107"/>
      <c r="N28" s="111"/>
      <c r="O28" s="107"/>
    </row>
    <row r="29" spans="1:15">
      <c r="A29" s="12"/>
      <c r="B29" s="108" t="s">
        <v>359</v>
      </c>
      <c r="C29" s="107"/>
      <c r="D29" s="113"/>
      <c r="E29" s="114" t="str">
        <f>IFERROR(E16/E21,"N/A")</f>
        <v>N/A</v>
      </c>
      <c r="F29" s="109"/>
      <c r="G29" s="107"/>
      <c r="N29" s="115"/>
      <c r="O29" s="107"/>
    </row>
    <row r="30" spans="1:15" ht="7.5" customHeight="1">
      <c r="A30" s="12"/>
      <c r="B30" s="110"/>
      <c r="C30" s="107"/>
      <c r="D30" s="107"/>
      <c r="E30" s="107"/>
      <c r="F30" s="109"/>
      <c r="G30" s="107"/>
      <c r="N30" s="115"/>
      <c r="O30" s="107"/>
    </row>
    <row r="31" spans="1:15">
      <c r="A31" s="12"/>
      <c r="B31" s="108" t="s">
        <v>312</v>
      </c>
      <c r="C31" s="107"/>
      <c r="D31" s="107"/>
      <c r="E31" s="116">
        <v>1</v>
      </c>
      <c r="F31" s="109"/>
      <c r="G31" s="107"/>
      <c r="N31" s="115"/>
    </row>
    <row r="32" spans="1:15" ht="7.5" customHeight="1">
      <c r="B32" s="117"/>
      <c r="C32" s="118"/>
      <c r="D32" s="118"/>
      <c r="E32" s="118"/>
      <c r="F32" s="119"/>
      <c r="G32" s="107"/>
      <c r="N32" s="115"/>
    </row>
    <row r="33" spans="1:55" ht="7.5" customHeight="1"/>
    <row r="40" spans="1:55">
      <c r="O40" s="59"/>
    </row>
    <row r="41" spans="1:55">
      <c r="A41" s="12"/>
      <c r="N41" s="115"/>
    </row>
    <row r="45" spans="1:55">
      <c r="AU45" t="s">
        <v>313</v>
      </c>
    </row>
    <row r="46" spans="1:55">
      <c r="AU46" t="s">
        <v>311</v>
      </c>
    </row>
    <row r="47" spans="1:55">
      <c r="AU47" s="120" t="s">
        <v>138</v>
      </c>
      <c r="AV47" s="121">
        <f>E22</f>
        <v>0</v>
      </c>
      <c r="AW47" s="121">
        <f>AV47</f>
        <v>0</v>
      </c>
      <c r="AX47" s="121">
        <f>AW47</f>
        <v>0</v>
      </c>
      <c r="AY47" s="121">
        <f>AX47</f>
        <v>0</v>
      </c>
      <c r="AZ47" s="121">
        <f t="shared" ref="AZ47:BA47" si="0">AY47</f>
        <v>0</v>
      </c>
      <c r="BA47" s="121">
        <f t="shared" si="0"/>
        <v>0</v>
      </c>
      <c r="BB47" s="122"/>
      <c r="BC47" s="122"/>
    </row>
    <row r="48" spans="1:55">
      <c r="AU48" s="120" t="s">
        <v>139</v>
      </c>
      <c r="AV48" s="122"/>
      <c r="AW48" s="121">
        <f>E23</f>
        <v>0</v>
      </c>
      <c r="AX48" s="121">
        <f>AW48</f>
        <v>0</v>
      </c>
      <c r="AY48" s="121">
        <f>AX48</f>
        <v>0</v>
      </c>
      <c r="AZ48" s="121">
        <f t="shared" ref="AZ48:BA48" si="1">AY48</f>
        <v>0</v>
      </c>
      <c r="BA48" s="121">
        <f t="shared" si="1"/>
        <v>0</v>
      </c>
      <c r="BB48" s="122"/>
      <c r="BC48" s="122"/>
    </row>
    <row r="49" spans="8:55">
      <c r="H49" s="123"/>
      <c r="AU49" s="120" t="s">
        <v>472</v>
      </c>
      <c r="AV49" s="122"/>
      <c r="AW49" s="122"/>
      <c r="AX49" s="121">
        <f>E24</f>
        <v>0</v>
      </c>
      <c r="AY49" s="121">
        <f>AX49</f>
        <v>0</v>
      </c>
      <c r="AZ49" s="121">
        <f t="shared" ref="AZ49:BA49" si="2">AY49</f>
        <v>0</v>
      </c>
      <c r="BA49" s="121">
        <f t="shared" si="2"/>
        <v>0</v>
      </c>
      <c r="BB49" s="122"/>
      <c r="BC49" s="122"/>
    </row>
    <row r="50" spans="8:55">
      <c r="H50" s="123"/>
      <c r="AU50" s="120" t="s">
        <v>473</v>
      </c>
      <c r="AV50" s="122"/>
      <c r="AW50" s="122"/>
      <c r="AX50" s="121"/>
      <c r="AY50" s="121">
        <f>E25</f>
        <v>0</v>
      </c>
      <c r="AZ50" s="121">
        <f>AY50</f>
        <v>0</v>
      </c>
      <c r="BA50" s="121">
        <f>AZ50</f>
        <v>0</v>
      </c>
      <c r="BB50" s="122"/>
      <c r="BC50" s="122"/>
    </row>
    <row r="51" spans="8:55">
      <c r="AU51" s="120" t="s">
        <v>141</v>
      </c>
      <c r="AV51" s="122"/>
      <c r="AW51" s="122"/>
      <c r="AX51" s="122"/>
      <c r="AY51" s="122"/>
      <c r="AZ51" s="121">
        <f>E26</f>
        <v>0</v>
      </c>
      <c r="BA51" s="121">
        <f>AZ51</f>
        <v>0</v>
      </c>
      <c r="BB51" s="122"/>
      <c r="BC51" s="122"/>
    </row>
    <row r="52" spans="8:55">
      <c r="AU52" s="120" t="s">
        <v>142</v>
      </c>
      <c r="AV52" s="122"/>
      <c r="AW52" s="122"/>
      <c r="AX52" s="122"/>
      <c r="AY52" s="122"/>
      <c r="AZ52" s="122"/>
      <c r="BA52" s="121">
        <f>E27</f>
        <v>0</v>
      </c>
      <c r="BB52" s="121">
        <f>BC54</f>
        <v>0</v>
      </c>
      <c r="BC52" s="122"/>
    </row>
    <row r="53" spans="8:55">
      <c r="AU53" s="122" t="s">
        <v>315</v>
      </c>
      <c r="AV53" s="122"/>
      <c r="AW53" s="122"/>
      <c r="AX53" s="122"/>
      <c r="AY53" s="122"/>
      <c r="AZ53" s="122"/>
      <c r="BA53" s="122"/>
      <c r="BB53" s="121">
        <f>SUM(AV47,AW48,AX49,AY50,AZ51,BA52)-BC54</f>
        <v>0</v>
      </c>
      <c r="BC53" s="122"/>
    </row>
    <row r="54" spans="8:55">
      <c r="AU54" s="122" t="s">
        <v>314</v>
      </c>
      <c r="AV54" s="122"/>
      <c r="AW54" s="122"/>
      <c r="AX54" s="122"/>
      <c r="AY54" s="122"/>
      <c r="AZ54" s="122"/>
      <c r="BA54" s="122"/>
      <c r="BB54" s="122"/>
      <c r="BC54" s="121">
        <f>E21</f>
        <v>0</v>
      </c>
    </row>
    <row r="56" spans="8:55">
      <c r="J56" s="124"/>
    </row>
  </sheetData>
  <sheetProtection algorithmName="SHA-512" hashValue="e2/J2DHiafzkLtjoUYi2jUux4eMXiULIOhj1wJuvYngG3KJE8tVtWlb1UFLutU0cllu/XGswLLtirub2UorGdw==" saltValue="+3+PsE2ou4ntpYmv0KhKXQ==" spinCount="100000" sheet="1" formatCells="0" formatColumns="0" insertHyperlinks="0" sort="0" autoFilter="0" pivotTables="0"/>
  <protectedRanges>
    <protectedRange algorithmName="SHA-512" hashValue="KeExXEXI5+cKWj/QLELGFlKDg+2S/m/U9ncqKSfsa4v8Yy7p3OjN+VH4dHL/B48w4y2vTqaxgYT9OYX/ZgNsuQ==" saltValue="nlMSuJhFKwgHrN2FtXe2FA==" spinCount="100000" sqref="D9" name="Scenario"/>
  </protectedRanges>
  <mergeCells count="2">
    <mergeCell ref="D9:E9"/>
    <mergeCell ref="D10:E10"/>
  </mergeCells>
  <conditionalFormatting sqref="E29">
    <cfRule type="cellIs" dxfId="18" priority="6" operator="lessThan">
      <formula>$E$31</formula>
    </cfRule>
  </conditionalFormatting>
  <pageMargins left="0.7" right="0.7" top="0.75" bottom="0.75" header="0.3" footer="0.3"/>
  <pageSetup paperSize="9" scale="53" fitToHeight="0" orientation="landscape" horizontalDpi="4294967293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FF6600"/>
    <pageSetUpPr fitToPage="1"/>
  </sheetPr>
  <dimension ref="A1:P43"/>
  <sheetViews>
    <sheetView showGridLines="0" zoomScale="90" zoomScaleNormal="90" workbookViewId="0">
      <selection activeCell="F34" sqref="F34"/>
    </sheetView>
  </sheetViews>
  <sheetFormatPr defaultColWidth="9.140625" defaultRowHeight="15"/>
  <cols>
    <col min="1" max="1" width="2.7109375" style="126" customWidth="1"/>
    <col min="2" max="2" width="3.28515625" customWidth="1"/>
    <col min="3" max="3" width="4.5703125" customWidth="1"/>
    <col min="4" max="4" width="26.42578125" customWidth="1"/>
    <col min="5" max="5" width="20.5703125" customWidth="1"/>
    <col min="6" max="6" width="19.7109375" customWidth="1"/>
    <col min="7" max="7" width="3.42578125" customWidth="1"/>
    <col min="8" max="8" width="40.5703125" customWidth="1"/>
    <col min="9" max="9" width="20.5703125" customWidth="1"/>
    <col min="10" max="10" width="2.28515625" customWidth="1"/>
    <col min="11" max="11" width="7.85546875" customWidth="1"/>
    <col min="12" max="12" width="13.5703125" customWidth="1"/>
    <col min="13" max="13" width="2.28515625" customWidth="1"/>
    <col min="14" max="14" width="26.7109375" customWidth="1"/>
    <col min="15" max="16" width="14" customWidth="1"/>
    <col min="17" max="19" width="10.85546875" customWidth="1"/>
    <col min="20" max="83" width="17.5703125" customWidth="1"/>
  </cols>
  <sheetData>
    <row r="1" spans="1:16">
      <c r="A1" s="125"/>
    </row>
    <row r="2" spans="1:16" ht="15.75">
      <c r="A2"/>
      <c r="B2" s="126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1:16" ht="15.75">
      <c r="A3"/>
      <c r="B3" s="126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</row>
    <row r="4" spans="1:16" ht="15.75">
      <c r="A4"/>
      <c r="B4" s="126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ht="26.25">
      <c r="A5"/>
      <c r="C5" s="55" t="str">
        <f>Cover!$B$5 &amp; " - "&amp;Cover!$H$3</f>
        <v>Non-life Template for the Risk-based Capital 2 Framework - 2020 v2</v>
      </c>
      <c r="D5" s="101"/>
      <c r="I5" s="50"/>
    </row>
    <row r="6" spans="1:16" ht="15.75">
      <c r="A6"/>
      <c r="C6" s="127" t="str">
        <f>Cover!B6</f>
        <v>Insurance Commission</v>
      </c>
      <c r="D6" s="127"/>
      <c r="F6" s="57"/>
      <c r="G6" s="57"/>
      <c r="H6" s="57"/>
      <c r="I6" s="50"/>
    </row>
    <row r="7" spans="1:16" ht="15.75">
      <c r="A7"/>
      <c r="C7" s="127" t="str">
        <f>Cover!D27</f>
        <v>Components of RBC Requirements</v>
      </c>
      <c r="D7" s="127"/>
      <c r="F7" s="57"/>
      <c r="G7" s="57"/>
      <c r="H7" s="57"/>
      <c r="I7" s="50"/>
    </row>
    <row r="8" spans="1:16">
      <c r="A8"/>
    </row>
    <row r="9" spans="1:16">
      <c r="A9"/>
      <c r="B9" s="126"/>
      <c r="C9" s="59" t="s">
        <v>155</v>
      </c>
      <c r="D9" s="59"/>
      <c r="E9" s="649">
        <f>Cover!$C$9</f>
        <v>0</v>
      </c>
      <c r="F9" s="650"/>
      <c r="I9" s="128"/>
      <c r="J9" s="128"/>
      <c r="K9" s="128"/>
      <c r="L9" s="128"/>
    </row>
    <row r="10" spans="1:16">
      <c r="A10"/>
      <c r="B10" s="126"/>
      <c r="C10" s="59" t="s">
        <v>310</v>
      </c>
      <c r="D10" s="59"/>
      <c r="E10" s="651">
        <f>Cover!$C$10</f>
        <v>0</v>
      </c>
      <c r="F10" s="652"/>
      <c r="I10" s="129"/>
      <c r="J10" s="129"/>
      <c r="K10" s="129"/>
      <c r="L10" s="129"/>
    </row>
    <row r="11" spans="1:16">
      <c r="J11" s="130"/>
    </row>
    <row r="12" spans="1:16" s="132" customFormat="1" ht="14.45" customHeight="1">
      <c r="A12" s="131"/>
      <c r="C12" s="133" t="s">
        <v>144</v>
      </c>
      <c r="D12" s="134"/>
      <c r="E12" s="135"/>
      <c r="F12" s="135"/>
      <c r="I12" s="655"/>
    </row>
    <row r="13" spans="1:16">
      <c r="A13" s="136"/>
      <c r="C13" s="137" t="s">
        <v>351</v>
      </c>
      <c r="D13" s="138"/>
      <c r="E13" s="139" t="s">
        <v>363</v>
      </c>
      <c r="F13" s="139" t="s">
        <v>353</v>
      </c>
      <c r="I13" s="655"/>
    </row>
    <row r="14" spans="1:16">
      <c r="A14" s="136"/>
      <c r="C14" s="140" t="s">
        <v>352</v>
      </c>
      <c r="D14" s="141"/>
      <c r="E14" s="142" t="s">
        <v>364</v>
      </c>
      <c r="F14" s="142" t="s">
        <v>354</v>
      </c>
      <c r="I14" s="143"/>
    </row>
    <row r="15" spans="1:16">
      <c r="A15" s="136"/>
      <c r="C15" s="144" t="s">
        <v>138</v>
      </c>
      <c r="D15" s="87" t="s">
        <v>35</v>
      </c>
      <c r="E15" s="145"/>
      <c r="F15" s="145"/>
    </row>
    <row r="16" spans="1:16">
      <c r="A16" s="136"/>
      <c r="C16" s="146"/>
      <c r="D16" s="147" t="s">
        <v>97</v>
      </c>
      <c r="E16" s="148"/>
      <c r="F16" s="148"/>
    </row>
    <row r="17" spans="1:9">
      <c r="A17" s="149"/>
      <c r="C17" s="150"/>
      <c r="D17" s="151" t="s">
        <v>36</v>
      </c>
      <c r="E17" s="152">
        <f>SUMIF(Input_Asset!B:B,"DB",Input_Asset!L:L)</f>
        <v>0</v>
      </c>
      <c r="F17" s="153" t="str">
        <f>IFERROR(E17/SUM($E$17:$E$21),"")</f>
        <v/>
      </c>
    </row>
    <row r="18" spans="1:9">
      <c r="C18" s="150"/>
      <c r="D18" s="154" t="s">
        <v>37</v>
      </c>
      <c r="E18" s="152">
        <f>SUMIF(Input_Asset!B:B,"O",Input_Asset!L:L)</f>
        <v>0</v>
      </c>
      <c r="F18" s="153" t="str">
        <f>IFERROR(E18/SUM($E$17:$E$21),"")</f>
        <v/>
      </c>
    </row>
    <row r="19" spans="1:9">
      <c r="C19" s="155"/>
      <c r="D19" s="156" t="s">
        <v>98</v>
      </c>
      <c r="E19" s="157"/>
      <c r="F19" s="153"/>
    </row>
    <row r="20" spans="1:9">
      <c r="C20" s="150"/>
      <c r="D20" s="151" t="s">
        <v>99</v>
      </c>
      <c r="E20" s="152">
        <f>SUMIF(Input_Asset!B:B,"AR",Input_Asset!L:L)</f>
        <v>0</v>
      </c>
      <c r="F20" s="153" t="str">
        <f>IFERROR(E20/SUM($E$17:$E$21),"")</f>
        <v/>
      </c>
    </row>
    <row r="21" spans="1:9">
      <c r="C21" s="150"/>
      <c r="D21" s="154" t="s">
        <v>70</v>
      </c>
      <c r="E21" s="152">
        <f>SUMIF(Input_Asset!B:B,"RI",Input_Asset!L:L)</f>
        <v>0</v>
      </c>
      <c r="F21" s="153" t="str">
        <f>IFERROR(E21/SUM($E$17:$E$21),"")</f>
        <v/>
      </c>
    </row>
    <row r="22" spans="1:9">
      <c r="C22" s="158"/>
      <c r="D22" s="159"/>
      <c r="E22" s="160"/>
      <c r="F22" s="160"/>
    </row>
    <row r="23" spans="1:9">
      <c r="C23" s="161" t="s">
        <v>139</v>
      </c>
      <c r="D23" s="87" t="s">
        <v>38</v>
      </c>
      <c r="E23" s="162"/>
      <c r="F23" s="162"/>
    </row>
    <row r="24" spans="1:9">
      <c r="C24" s="163"/>
      <c r="D24" s="164" t="s">
        <v>17</v>
      </c>
      <c r="E24" s="152">
        <f>Input_Liability!I38</f>
        <v>0</v>
      </c>
      <c r="F24" s="153" t="str">
        <f>IFERROR(E24/SUM($E$24:$E$25),"")</f>
        <v/>
      </c>
    </row>
    <row r="25" spans="1:9">
      <c r="C25" s="163"/>
      <c r="D25" s="164" t="s">
        <v>6</v>
      </c>
      <c r="E25" s="152">
        <f>Input_Liability!K38</f>
        <v>0</v>
      </c>
      <c r="F25" s="153" t="str">
        <f>IFERROR(E25/SUM($E$24:$E$25),"")</f>
        <v/>
      </c>
    </row>
    <row r="26" spans="1:9">
      <c r="C26" s="163"/>
      <c r="D26" s="164"/>
      <c r="E26" s="152"/>
      <c r="F26" s="152"/>
    </row>
    <row r="27" spans="1:9">
      <c r="C27" s="161" t="s">
        <v>140</v>
      </c>
      <c r="D27" s="87" t="s">
        <v>10</v>
      </c>
      <c r="E27" s="171"/>
      <c r="F27" s="171"/>
    </row>
    <row r="28" spans="1:9">
      <c r="C28" s="146"/>
      <c r="D28" s="165" t="s">
        <v>92</v>
      </c>
      <c r="E28" s="152">
        <f>Input_ALM!J14</f>
        <v>0</v>
      </c>
      <c r="F28" s="153" t="str">
        <f>IFERROR(E28/SUM($E$28:$E$32),"")</f>
        <v/>
      </c>
    </row>
    <row r="29" spans="1:9">
      <c r="C29" s="155"/>
      <c r="D29" s="165" t="s">
        <v>93</v>
      </c>
      <c r="E29" s="152">
        <f>SUMIF(Input_Asset!B:B,"EQ",Input_Asset!L:L)</f>
        <v>0</v>
      </c>
      <c r="F29" s="153" t="str">
        <f>IFERROR(E29/SUM($E$28:$E$32),"")</f>
        <v/>
      </c>
      <c r="I29" s="166"/>
    </row>
    <row r="30" spans="1:9">
      <c r="C30" s="155"/>
      <c r="D30" s="165" t="s">
        <v>94</v>
      </c>
      <c r="E30" s="152">
        <f>SUMIF(Input_Asset!B:B,"P",Input_Asset!L:L)</f>
        <v>0</v>
      </c>
      <c r="F30" s="153" t="str">
        <f>IFERROR(E30/SUM($E$28:$E$32),"")</f>
        <v/>
      </c>
      <c r="I30" s="167"/>
    </row>
    <row r="31" spans="1:9">
      <c r="C31" s="155"/>
      <c r="D31" s="165" t="s">
        <v>91</v>
      </c>
      <c r="E31" s="152">
        <f>Input_Currency!I18</f>
        <v>0</v>
      </c>
      <c r="F31" s="153" t="str">
        <f>IFERROR(E31/SUM($E$28:$E$32),"")</f>
        <v/>
      </c>
    </row>
    <row r="32" spans="1:9">
      <c r="C32" s="155"/>
      <c r="D32" s="165" t="s">
        <v>105</v>
      </c>
      <c r="E32" s="152">
        <f>Input_ALM!O14</f>
        <v>0</v>
      </c>
      <c r="F32" s="153" t="str">
        <f>IFERROR(E32/SUM($E$28:$E$32),"")</f>
        <v/>
      </c>
    </row>
    <row r="33" spans="1:9">
      <c r="C33" s="168"/>
      <c r="D33" s="159"/>
      <c r="E33" s="169"/>
      <c r="F33" s="169"/>
      <c r="I33" s="170"/>
    </row>
    <row r="34" spans="1:9">
      <c r="C34" s="161" t="s">
        <v>141</v>
      </c>
      <c r="D34" s="87" t="s">
        <v>100</v>
      </c>
      <c r="E34" s="171"/>
      <c r="F34" s="171"/>
    </row>
    <row r="35" spans="1:9">
      <c r="C35" s="163"/>
      <c r="D35" s="172" t="s">
        <v>7</v>
      </c>
      <c r="E35" s="152">
        <f>MIN(Input_Operational!E17,0.1*SQRT(SUM(SUM(E17:E18,E20:E21)^2,SUM(E24:E25)^2,E29^2,SUM(E28,E30:E32)^2,E38^2)))</f>
        <v>0</v>
      </c>
      <c r="F35" s="173" t="str">
        <f>IFERROR(E35/E35,"")</f>
        <v/>
      </c>
    </row>
    <row r="36" spans="1:9">
      <c r="C36" s="163"/>
      <c r="D36" s="164"/>
      <c r="E36" s="174"/>
      <c r="F36" s="174"/>
    </row>
    <row r="37" spans="1:9">
      <c r="C37" s="161" t="s">
        <v>142</v>
      </c>
      <c r="D37" s="87" t="s">
        <v>101</v>
      </c>
      <c r="E37" s="171"/>
      <c r="F37" s="171"/>
    </row>
    <row r="38" spans="1:9">
      <c r="C38" s="163"/>
      <c r="D38" s="164" t="s">
        <v>96</v>
      </c>
      <c r="E38" s="152">
        <f>Input_Catastrophe!D23</f>
        <v>0</v>
      </c>
      <c r="F38" s="173" t="str">
        <f>IFERROR(E38/E38,"")</f>
        <v/>
      </c>
    </row>
    <row r="39" spans="1:9">
      <c r="C39" s="175"/>
      <c r="D39" s="159"/>
      <c r="E39" s="160"/>
      <c r="F39" s="160"/>
      <c r="I39" s="176"/>
    </row>
    <row r="41" spans="1:9">
      <c r="A41" s="60"/>
    </row>
    <row r="43" spans="1:9">
      <c r="I43" s="177"/>
    </row>
  </sheetData>
  <sheetProtection algorithmName="SHA-512" hashValue="ohoReIzSrFYsVx3GHEU3xDqjkRz4REDUZER7HOI9KprXigx6ZI5Ayya7SeiTDNUOYD9K5HWBUUECFYzTrmWXXw==" saltValue="+PjSC6M+SnYHCA06JWSyYQ==" spinCount="100000" sheet="1" formatCells="0" formatColumns="0" insertHyperlinks="0" sort="0" autoFilter="0" pivotTables="0"/>
  <mergeCells count="3">
    <mergeCell ref="E9:F9"/>
    <mergeCell ref="E10:F10"/>
    <mergeCell ref="I12:I13"/>
  </mergeCells>
  <pageMargins left="0.7" right="0.7" top="0.75" bottom="0.75" header="0.3" footer="0.3"/>
  <pageSetup paperSize="9" scale="58" fitToHeight="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5" tint="-0.499984740745262"/>
    <pageSetUpPr fitToPage="1"/>
  </sheetPr>
  <dimension ref="A1"/>
  <sheetViews>
    <sheetView showGridLines="0" zoomScale="90" zoomScaleNormal="90" workbookViewId="0">
      <selection activeCell="F34" sqref="F34"/>
    </sheetView>
  </sheetViews>
  <sheetFormatPr defaultColWidth="8.7109375" defaultRowHeight="15"/>
  <cols>
    <col min="1" max="1" width="2.7109375" style="531" customWidth="1"/>
    <col min="2" max="16384" width="8.7109375" style="531"/>
  </cols>
  <sheetData/>
  <sheetProtection formatCells="0" formatColumns="0" insertHyperlinks="0" sort="0" autoFilter="0" pivotTables="0"/>
  <pageMargins left="0.7" right="0.7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theme="5" tint="0.39997558519241921"/>
    <pageSetUpPr fitToPage="1"/>
  </sheetPr>
  <dimension ref="A1:J57"/>
  <sheetViews>
    <sheetView showGridLines="0" zoomScale="90" zoomScaleNormal="90" workbookViewId="0">
      <selection activeCell="F34" sqref="F34"/>
    </sheetView>
  </sheetViews>
  <sheetFormatPr defaultColWidth="8.7109375" defaultRowHeight="15"/>
  <cols>
    <col min="1" max="1" width="2.7109375" customWidth="1"/>
    <col min="2" max="2" width="14.5703125" customWidth="1"/>
    <col min="3" max="3" width="18.42578125" customWidth="1"/>
    <col min="4" max="4" width="44.5703125" customWidth="1"/>
    <col min="5" max="5" width="16.85546875" bestFit="1" customWidth="1"/>
    <col min="6" max="6" width="15.5703125" customWidth="1"/>
    <col min="7" max="7" width="14.85546875" customWidth="1"/>
    <col min="8" max="84" width="17.5703125" customWidth="1"/>
  </cols>
  <sheetData>
    <row r="1" spans="1:10">
      <c r="A1" s="10"/>
    </row>
    <row r="2" spans="1:10" ht="15.75">
      <c r="B2" s="50"/>
      <c r="C2" s="50"/>
      <c r="D2" s="50"/>
      <c r="E2" s="50"/>
      <c r="F2" s="50"/>
      <c r="G2" s="50"/>
      <c r="H2" s="50"/>
      <c r="I2" s="50"/>
      <c r="J2" s="50"/>
    </row>
    <row r="3" spans="1:10" ht="15.75">
      <c r="B3" s="50"/>
      <c r="C3" s="50"/>
      <c r="D3" s="50"/>
      <c r="E3" s="50"/>
      <c r="F3" s="50"/>
      <c r="G3" s="50"/>
      <c r="H3" s="50"/>
      <c r="I3" s="50"/>
      <c r="J3" s="50"/>
    </row>
    <row r="4" spans="1:10" ht="15.75">
      <c r="B4" s="50"/>
      <c r="C4" s="50"/>
      <c r="D4" s="50"/>
      <c r="E4" s="50"/>
      <c r="F4" s="50"/>
      <c r="G4" s="50"/>
      <c r="H4" s="50"/>
      <c r="I4" s="50"/>
      <c r="J4" s="50"/>
    </row>
    <row r="5" spans="1:10" ht="26.25">
      <c r="B5" s="55" t="str">
        <f>Cover!$B$5 &amp; " - "&amp;Cover!$H$3</f>
        <v>Non-life Template for the Risk-based Capital 2 Framework - 2020 v2</v>
      </c>
      <c r="C5" s="178"/>
    </row>
    <row r="6" spans="1:10" ht="15.75">
      <c r="B6" s="56" t="str">
        <f>Cover!$B$6</f>
        <v>Insurance Commission</v>
      </c>
      <c r="C6" s="179"/>
      <c r="D6" s="57"/>
      <c r="E6" s="57"/>
      <c r="F6" s="57"/>
    </row>
    <row r="7" spans="1:10" ht="15.75">
      <c r="B7" s="127" t="str">
        <f>Cover!D29</f>
        <v>Calculation of Total Available Capital</v>
      </c>
      <c r="C7" s="179"/>
      <c r="D7" s="57"/>
      <c r="E7" s="57"/>
      <c r="F7" s="57"/>
    </row>
    <row r="9" spans="1:10">
      <c r="B9" s="59" t="s">
        <v>155</v>
      </c>
      <c r="C9" s="649">
        <f>Cover!$C$9</f>
        <v>0</v>
      </c>
      <c r="D9" s="650"/>
    </row>
    <row r="10" spans="1:10">
      <c r="B10" s="59" t="s">
        <v>156</v>
      </c>
      <c r="C10" s="651">
        <f>Cover!$C$10</f>
        <v>0</v>
      </c>
      <c r="D10" s="652"/>
    </row>
    <row r="12" spans="1:10">
      <c r="B12" s="180" t="s">
        <v>103</v>
      </c>
      <c r="C12" s="180"/>
    </row>
    <row r="13" spans="1:10">
      <c r="B13" s="181" t="s">
        <v>104</v>
      </c>
      <c r="C13" s="181"/>
      <c r="D13" s="182"/>
    </row>
    <row r="14" spans="1:10">
      <c r="B14" s="183" t="s">
        <v>151</v>
      </c>
      <c r="C14" s="184"/>
      <c r="D14" s="185"/>
    </row>
    <row r="15" spans="1:10">
      <c r="E15" s="221" t="str">
        <f>IF(E17=0,"CHECK","")</f>
        <v>CHECK</v>
      </c>
      <c r="F15" s="60" t="str">
        <f>IF(E15="CHECK","Please enter/check TAC information","")</f>
        <v>Please enter/check TAC information</v>
      </c>
    </row>
    <row r="16" spans="1:10" ht="30" customHeight="1">
      <c r="B16" s="186" t="s">
        <v>371</v>
      </c>
      <c r="C16" s="187"/>
      <c r="D16" s="187"/>
      <c r="E16" s="188" t="s">
        <v>76</v>
      </c>
    </row>
    <row r="17" spans="2:8">
      <c r="B17" s="189" t="s">
        <v>372</v>
      </c>
      <c r="C17" s="190"/>
      <c r="D17" s="190"/>
      <c r="E17" s="191">
        <f>SUM(E18,E35)-E44</f>
        <v>0</v>
      </c>
    </row>
    <row r="18" spans="2:8">
      <c r="B18" s="192" t="s">
        <v>12</v>
      </c>
      <c r="C18" s="193"/>
      <c r="D18" s="193"/>
      <c r="E18" s="194">
        <f>SUM(E19:E27,E28,E33:E34)</f>
        <v>0</v>
      </c>
    </row>
    <row r="19" spans="2:8">
      <c r="B19" s="195" t="s">
        <v>210</v>
      </c>
      <c r="C19" s="196"/>
      <c r="D19" s="196"/>
      <c r="E19" s="16"/>
      <c r="H19" s="177"/>
    </row>
    <row r="20" spans="2:8">
      <c r="B20" s="195" t="s">
        <v>479</v>
      </c>
      <c r="C20" s="196"/>
      <c r="D20" s="196"/>
      <c r="E20" s="16"/>
      <c r="H20" s="177"/>
    </row>
    <row r="21" spans="2:8">
      <c r="B21" s="195" t="s">
        <v>511</v>
      </c>
      <c r="C21" s="196"/>
      <c r="D21" s="196"/>
      <c r="E21" s="16"/>
      <c r="H21" s="177"/>
    </row>
    <row r="22" spans="2:8">
      <c r="B22" s="195" t="s">
        <v>211</v>
      </c>
      <c r="C22" s="196"/>
      <c r="D22" s="196"/>
      <c r="E22" s="16"/>
      <c r="H22" s="177"/>
    </row>
    <row r="23" spans="2:8">
      <c r="B23" s="195" t="s">
        <v>480</v>
      </c>
      <c r="C23" s="196"/>
      <c r="D23" s="196"/>
      <c r="E23" s="16"/>
      <c r="H23" s="177"/>
    </row>
    <row r="24" spans="2:8">
      <c r="B24" s="195" t="s">
        <v>481</v>
      </c>
      <c r="C24" s="196"/>
      <c r="D24" s="196"/>
      <c r="E24" s="16"/>
      <c r="H24" s="177"/>
    </row>
    <row r="25" spans="2:8">
      <c r="B25" s="195" t="s">
        <v>212</v>
      </c>
      <c r="C25" s="196"/>
      <c r="D25" s="196"/>
      <c r="E25" s="16"/>
    </row>
    <row r="26" spans="2:8">
      <c r="B26" s="195" t="s">
        <v>158</v>
      </c>
      <c r="C26" s="196"/>
      <c r="D26" s="196"/>
      <c r="E26" s="16"/>
    </row>
    <row r="27" spans="2:8">
      <c r="B27" s="195" t="s">
        <v>213</v>
      </c>
      <c r="C27" s="196"/>
      <c r="D27" s="196"/>
      <c r="E27" s="16"/>
    </row>
    <row r="28" spans="2:8">
      <c r="B28" s="195" t="s">
        <v>214</v>
      </c>
      <c r="C28" s="196"/>
      <c r="D28" s="196"/>
      <c r="E28" s="197">
        <f>SUM(E29:E32)</f>
        <v>0</v>
      </c>
    </row>
    <row r="29" spans="2:8">
      <c r="B29" s="198" t="s">
        <v>215</v>
      </c>
      <c r="C29" s="196"/>
      <c r="D29" s="196"/>
      <c r="E29" s="16"/>
    </row>
    <row r="30" spans="2:8">
      <c r="B30" s="198" t="s">
        <v>216</v>
      </c>
      <c r="C30" s="196"/>
      <c r="D30" s="196"/>
      <c r="E30" s="16"/>
    </row>
    <row r="31" spans="2:8">
      <c r="B31" s="198" t="s">
        <v>217</v>
      </c>
      <c r="C31" s="196"/>
      <c r="D31" s="196"/>
      <c r="E31" s="16"/>
    </row>
    <row r="32" spans="2:8">
      <c r="B32" s="198" t="s">
        <v>218</v>
      </c>
      <c r="C32" s="196"/>
      <c r="D32" s="196"/>
      <c r="E32" s="16"/>
    </row>
    <row r="33" spans="2:7">
      <c r="B33" s="199" t="s">
        <v>219</v>
      </c>
      <c r="C33" s="200"/>
      <c r="D33" s="200"/>
      <c r="E33" s="16"/>
    </row>
    <row r="34" spans="2:7">
      <c r="B34" s="199" t="s">
        <v>323</v>
      </c>
      <c r="C34" s="200"/>
      <c r="D34" s="200"/>
      <c r="E34" s="16"/>
    </row>
    <row r="35" spans="2:7">
      <c r="B35" s="192" t="s">
        <v>13</v>
      </c>
      <c r="C35" s="193"/>
      <c r="D35" s="193"/>
      <c r="E35" s="201">
        <f>SUM(E36:E43)</f>
        <v>0</v>
      </c>
    </row>
    <row r="36" spans="2:7">
      <c r="B36" s="202" t="s">
        <v>220</v>
      </c>
      <c r="C36" s="196"/>
      <c r="D36" s="196"/>
      <c r="E36" s="16"/>
    </row>
    <row r="37" spans="2:7">
      <c r="B37" s="199" t="s">
        <v>221</v>
      </c>
      <c r="C37" s="200"/>
      <c r="D37" s="200"/>
      <c r="E37" s="16"/>
    </row>
    <row r="38" spans="2:7">
      <c r="B38" s="199" t="s">
        <v>324</v>
      </c>
      <c r="C38" s="200"/>
      <c r="D38" s="200"/>
      <c r="E38" s="16"/>
    </row>
    <row r="39" spans="2:7">
      <c r="B39" s="202" t="s">
        <v>222</v>
      </c>
      <c r="C39" s="196"/>
      <c r="D39" s="196"/>
      <c r="E39" s="16"/>
    </row>
    <row r="40" spans="2:7">
      <c r="B40" s="202" t="s">
        <v>223</v>
      </c>
      <c r="C40" s="196"/>
      <c r="D40" s="196"/>
      <c r="E40" s="16"/>
    </row>
    <row r="41" spans="2:7">
      <c r="B41" s="202" t="s">
        <v>15</v>
      </c>
      <c r="C41" s="196"/>
      <c r="D41" s="196"/>
      <c r="E41" s="16"/>
    </row>
    <row r="42" spans="2:7">
      <c r="B42" s="202" t="s">
        <v>110</v>
      </c>
      <c r="C42" s="196"/>
      <c r="D42" s="196"/>
      <c r="E42" s="16"/>
    </row>
    <row r="43" spans="2:7">
      <c r="B43" s="203" t="s">
        <v>111</v>
      </c>
      <c r="C43" s="200"/>
      <c r="D43" s="200"/>
      <c r="E43" s="16"/>
    </row>
    <row r="44" spans="2:7">
      <c r="B44" s="192" t="s">
        <v>14</v>
      </c>
      <c r="C44" s="193"/>
      <c r="D44" s="193"/>
      <c r="E44" s="194">
        <f>SUM(E45:E54)</f>
        <v>0</v>
      </c>
      <c r="F44" s="204"/>
      <c r="G44" s="204"/>
    </row>
    <row r="45" spans="2:7">
      <c r="B45" s="202" t="str">
        <f>Input_Asset!E242</f>
        <v>Goodwill, trade names, and other intangible assets</v>
      </c>
      <c r="C45" s="196"/>
      <c r="D45" s="196"/>
      <c r="E45" s="205">
        <f>Input_Asset!I242</f>
        <v>0</v>
      </c>
      <c r="F45" s="204"/>
    </row>
    <row r="46" spans="2:7">
      <c r="B46" s="202" t="str">
        <f>Input_Asset!E244</f>
        <v>Prepaid or Deferred Charges</v>
      </c>
      <c r="C46" s="196"/>
      <c r="D46" s="196"/>
      <c r="E46" s="205">
        <f>Input_Asset!I244</f>
        <v>0</v>
      </c>
      <c r="F46" s="204"/>
    </row>
    <row r="47" spans="2:7">
      <c r="B47" s="202" t="str">
        <f>Input_Asset!E240</f>
        <v>Deferred tax assets</v>
      </c>
      <c r="C47" s="196"/>
      <c r="D47" s="196"/>
      <c r="E47" s="205">
        <f>SUM(Input_Asset!H240:I240)</f>
        <v>0</v>
      </c>
    </row>
    <row r="48" spans="2:7">
      <c r="B48" s="202" t="str">
        <f>Input_Asset!E243</f>
        <v>Advances to officers, employees, agents etc. (other than policy loans)</v>
      </c>
      <c r="C48" s="196"/>
      <c r="D48" s="196"/>
      <c r="E48" s="205">
        <f>SUM(Input_Asset!H243:I243)</f>
        <v>0</v>
      </c>
    </row>
    <row r="49" spans="2:6">
      <c r="B49" s="195" t="str">
        <f>Input_Asset!E226</f>
        <v>Leasehold Improvements</v>
      </c>
      <c r="C49" s="196"/>
      <c r="D49" s="196"/>
      <c r="E49" s="205">
        <f>SUM(Input_Asset!H226:I226)</f>
        <v>0</v>
      </c>
      <c r="F49" t="s">
        <v>455</v>
      </c>
    </row>
    <row r="50" spans="2:6">
      <c r="B50" s="195" t="str">
        <f>Input_Asset!E227</f>
        <v>IT equipment (including electronic data processing system)</v>
      </c>
      <c r="C50" s="196"/>
      <c r="D50" s="196"/>
      <c r="E50" s="205">
        <f>SUM(Input_Asset!H227:I227)</f>
        <v>0</v>
      </c>
    </row>
    <row r="51" spans="2:6">
      <c r="B51" s="195" t="str">
        <f>Input_Asset!E228</f>
        <v>Transportation equipment</v>
      </c>
      <c r="C51" s="196"/>
      <c r="D51" s="196"/>
      <c r="E51" s="205">
        <f>Input_Asset!I228</f>
        <v>0</v>
      </c>
    </row>
    <row r="52" spans="2:6">
      <c r="B52" s="195" t="str">
        <f>Input_Asset!E229</f>
        <v>Office furniture, furnishing, fixtures and equipment</v>
      </c>
      <c r="C52" s="196"/>
      <c r="D52" s="196"/>
      <c r="E52" s="205">
        <f>Input_Asset!I229</f>
        <v>0</v>
      </c>
    </row>
    <row r="53" spans="2:6">
      <c r="B53" s="206" t="s">
        <v>325</v>
      </c>
      <c r="C53" s="207"/>
      <c r="D53" s="207"/>
      <c r="E53" s="530">
        <f>SUM(Input_Asset!H211:I211)</f>
        <v>0</v>
      </c>
    </row>
    <row r="54" spans="2:6">
      <c r="B54" s="208" t="s">
        <v>478</v>
      </c>
      <c r="C54" s="93"/>
      <c r="D54" s="93"/>
      <c r="E54" s="209">
        <f>IF((E35+Input_Asset!I18)&gt;0.5*Input_Capital!E18,(Input_Capital!E35+Input_Asset!I18)-0.5*E18,0)</f>
        <v>0</v>
      </c>
    </row>
    <row r="55" spans="2:6">
      <c r="B55" s="123"/>
    </row>
    <row r="56" spans="2:6">
      <c r="B56" s="90" t="s">
        <v>224</v>
      </c>
    </row>
    <row r="57" spans="2:6">
      <c r="B57" s="210"/>
      <c r="C57" s="59"/>
      <c r="D57" s="59"/>
      <c r="E57" s="211"/>
      <c r="F57" s="211"/>
    </row>
  </sheetData>
  <sheetProtection algorithmName="SHA-512" hashValue="yes5f4cqio6GTlSwnBPabAgHGRlcfFYDpe05I5VnRIF+0TxWhbLMuKCcVx1VVEe/KiNQBBxkHxK9NXb2QgSi9A==" saltValue="aHhYcd2Ap9sL9YswFnWNgA==" spinCount="100000" sheet="1" objects="1" scenarios="1" formatCells="0" formatColumns="0" insertHyperlinks="0" sort="0" autoFilter="0" pivotTables="0"/>
  <protectedRanges>
    <protectedRange algorithmName="SHA-512" hashValue="bK9noeVRKeBg5bU56A27TZ/+6+54QTJPm7i5LTmIV8tyhbtA5A4/bhS/rq+ico6CGQeIlp64Wk91wJiY7ErYhg==" saltValue="hzV5tI1X0t8mQpCAnvGCIQ==" spinCount="100000" sqref="E36:E43 E19:E34" name="Tier 1 Capital"/>
  </protectedRanges>
  <mergeCells count="2">
    <mergeCell ref="C9:D9"/>
    <mergeCell ref="C10:D10"/>
  </mergeCells>
  <conditionalFormatting sqref="E15">
    <cfRule type="cellIs" dxfId="17" priority="1" operator="equal">
      <formula>"CHECK"</formula>
    </cfRule>
  </conditionalFormatting>
  <pageMargins left="0.7" right="0.7" top="0.75" bottom="0.75" header="0.3" footer="0.3"/>
  <pageSetup paperSize="9" scale="68" fitToHeight="0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theme="5" tint="0.39997558519241921"/>
    <outlinePr summaryBelow="0"/>
    <pageSetUpPr fitToPage="1"/>
  </sheetPr>
  <dimension ref="A1:N244"/>
  <sheetViews>
    <sheetView showGridLines="0" zoomScale="90" zoomScaleNormal="90" workbookViewId="0">
      <selection activeCell="F34" sqref="F34"/>
    </sheetView>
  </sheetViews>
  <sheetFormatPr defaultColWidth="9.140625" defaultRowHeight="15"/>
  <cols>
    <col min="1" max="1" width="2.7109375" customWidth="1"/>
    <col min="2" max="3" width="7.42578125" style="212" hidden="1" customWidth="1"/>
    <col min="4" max="4" width="12.5703125" style="212" customWidth="1"/>
    <col min="5" max="5" width="11.7109375" style="38" customWidth="1"/>
    <col min="6" max="6" width="48" style="38" customWidth="1"/>
    <col min="7" max="7" width="19.42578125" style="38" customWidth="1"/>
    <col min="8" max="9" width="19.42578125" style="216" customWidth="1"/>
    <col min="10" max="10" width="24.7109375" style="212" customWidth="1"/>
    <col min="11" max="11" width="21.28515625" customWidth="1"/>
    <col min="12" max="12" width="21.28515625" style="217" customWidth="1"/>
    <col min="13" max="13" width="3.85546875" customWidth="1"/>
    <col min="14" max="14" width="24.42578125" style="212" customWidth="1"/>
    <col min="15" max="29" width="16.7109375" customWidth="1"/>
    <col min="30" max="98" width="17.5703125" customWidth="1"/>
  </cols>
  <sheetData>
    <row r="1" spans="1:14">
      <c r="A1" s="212"/>
      <c r="D1"/>
      <c r="E1"/>
      <c r="F1"/>
      <c r="G1"/>
      <c r="H1" s="213"/>
      <c r="I1" s="213"/>
      <c r="J1"/>
      <c r="L1" s="213"/>
      <c r="N1"/>
    </row>
    <row r="2" spans="1:14" ht="15.75">
      <c r="A2" s="212"/>
      <c r="D2" s="50"/>
      <c r="E2" s="50"/>
      <c r="F2" s="50"/>
      <c r="G2" s="50"/>
      <c r="H2" s="213"/>
      <c r="I2" s="213"/>
      <c r="J2"/>
      <c r="L2" s="213"/>
      <c r="N2"/>
    </row>
    <row r="3" spans="1:14" ht="15.75">
      <c r="A3" s="212"/>
      <c r="D3" s="50"/>
      <c r="E3" s="50"/>
      <c r="F3" s="50"/>
      <c r="G3" s="50"/>
      <c r="H3" s="213"/>
      <c r="I3"/>
      <c r="J3"/>
      <c r="L3" s="213"/>
      <c r="N3"/>
    </row>
    <row r="4" spans="1:14" ht="15.75">
      <c r="A4" s="212"/>
      <c r="D4" s="50"/>
      <c r="E4" s="50"/>
      <c r="F4" s="50"/>
      <c r="G4" s="50"/>
      <c r="H4" s="213"/>
      <c r="I4" s="213"/>
      <c r="J4"/>
      <c r="L4"/>
      <c r="N4"/>
    </row>
    <row r="5" spans="1:14" ht="26.25">
      <c r="A5" s="212"/>
      <c r="D5" s="55" t="str">
        <f>Cover!$B$5 &amp; " - "&amp;Cover!$H$3</f>
        <v>Non-life Template for the Risk-based Capital 2 Framework - 2020 v2</v>
      </c>
      <c r="E5" s="178"/>
      <c r="F5"/>
      <c r="G5"/>
      <c r="H5" s="213"/>
      <c r="I5" s="213"/>
      <c r="J5"/>
      <c r="L5" s="213"/>
      <c r="N5"/>
    </row>
    <row r="6" spans="1:14" ht="15.75">
      <c r="A6" s="212"/>
      <c r="D6" s="56" t="str">
        <f>Cover!$B$6</f>
        <v>Insurance Commission</v>
      </c>
      <c r="E6" s="179"/>
      <c r="F6" s="57"/>
      <c r="G6" s="57"/>
      <c r="H6" s="213"/>
      <c r="I6" s="213"/>
      <c r="J6"/>
      <c r="L6" s="213"/>
      <c r="N6"/>
    </row>
    <row r="7" spans="1:14" ht="15.75">
      <c r="A7" s="212"/>
      <c r="D7" s="127" t="str">
        <f>Cover!D30</f>
        <v>Calculation of Risk Charges on Balance Sheet Assets</v>
      </c>
      <c r="E7" s="179"/>
      <c r="F7" s="57"/>
      <c r="G7" s="57"/>
      <c r="H7" s="213"/>
      <c r="I7" s="213"/>
      <c r="J7"/>
      <c r="L7" s="213"/>
      <c r="N7"/>
    </row>
    <row r="8" spans="1:14">
      <c r="B8" s="59"/>
      <c r="C8" s="59"/>
      <c r="D8"/>
      <c r="E8"/>
      <c r="F8"/>
      <c r="G8"/>
      <c r="H8" s="213"/>
      <c r="I8" s="213"/>
      <c r="J8"/>
      <c r="L8" s="213"/>
      <c r="N8"/>
    </row>
    <row r="9" spans="1:14">
      <c r="B9" s="59"/>
      <c r="C9" s="59"/>
      <c r="D9" s="59" t="s">
        <v>134</v>
      </c>
      <c r="F9" s="496">
        <f>Cover!$C$9</f>
        <v>0</v>
      </c>
      <c r="G9" s="214"/>
      <c r="H9" s="213"/>
      <c r="I9" s="213"/>
      <c r="J9"/>
      <c r="L9" s="213"/>
      <c r="N9"/>
    </row>
    <row r="10" spans="1:14">
      <c r="D10" s="59" t="s">
        <v>135</v>
      </c>
      <c r="F10" s="497">
        <f>Cover!$C$10</f>
        <v>0</v>
      </c>
      <c r="G10" s="215"/>
      <c r="N10"/>
    </row>
    <row r="11" spans="1:14">
      <c r="D11"/>
      <c r="E11"/>
      <c r="F11"/>
      <c r="G11"/>
      <c r="N11"/>
    </row>
    <row r="12" spans="1:14">
      <c r="B12" s="180"/>
      <c r="C12" s="180"/>
      <c r="D12" s="180" t="s">
        <v>103</v>
      </c>
      <c r="E12" s="59"/>
      <c r="F12" s="59"/>
      <c r="G12" s="59"/>
    </row>
    <row r="13" spans="1:14">
      <c r="B13" s="180"/>
      <c r="C13" s="180"/>
      <c r="D13" s="181" t="s">
        <v>104</v>
      </c>
      <c r="E13" s="218"/>
      <c r="F13" s="218"/>
      <c r="G13" s="59"/>
      <c r="K13" s="90"/>
    </row>
    <row r="14" spans="1:14">
      <c r="B14" s="180"/>
      <c r="C14" s="180"/>
      <c r="D14" s="183" t="s">
        <v>151</v>
      </c>
      <c r="E14" s="219"/>
      <c r="F14" s="219"/>
      <c r="G14" s="59"/>
      <c r="K14" s="90"/>
      <c r="L14" s="220"/>
    </row>
    <row r="15" spans="1:14">
      <c r="E15" s="59"/>
      <c r="F15" s="59"/>
      <c r="G15" s="59"/>
      <c r="H15" s="221" t="str">
        <f>IF(SUM(H18:I18)=0,"CHECK","")</f>
        <v>CHECK</v>
      </c>
      <c r="I15" s="60" t="str">
        <f>IF(H15="CHECK","Please enter Asset information","")</f>
        <v>Please enter Asset information</v>
      </c>
      <c r="L15" s="221" t="str">
        <f>IF(ROUND(SUM(SUMPRODUCT(K19:K243,H19:H243),SUMPRODUCT(I19:I243,K19:K243)),2)=ROUND(L18,2),"","CHECK")</f>
        <v/>
      </c>
      <c r="M15" s="60" t="str">
        <f>IF(L15="CHECK","Please check Risk Charge formula in column L","")</f>
        <v/>
      </c>
    </row>
    <row r="16" spans="1:14" ht="15" customHeight="1">
      <c r="B16" s="656" t="s">
        <v>143</v>
      </c>
      <c r="C16" s="657"/>
      <c r="D16" s="222"/>
      <c r="E16" s="223"/>
      <c r="F16" s="223"/>
      <c r="G16" s="139" t="s">
        <v>316</v>
      </c>
      <c r="H16" s="660" t="s">
        <v>225</v>
      </c>
      <c r="I16" s="661"/>
      <c r="J16"/>
      <c r="K16" s="662" t="s">
        <v>366</v>
      </c>
      <c r="L16" s="663"/>
    </row>
    <row r="17" spans="2:14">
      <c r="B17" s="658"/>
      <c r="C17" s="659"/>
      <c r="D17" s="140" t="s">
        <v>84</v>
      </c>
      <c r="E17" s="224" t="s">
        <v>79</v>
      </c>
      <c r="F17" s="224"/>
      <c r="G17" s="142" t="s">
        <v>449</v>
      </c>
      <c r="H17" s="225" t="s">
        <v>78</v>
      </c>
      <c r="I17" s="225" t="s">
        <v>146</v>
      </c>
      <c r="J17"/>
      <c r="K17" s="488" t="s">
        <v>77</v>
      </c>
      <c r="L17" s="517" t="s">
        <v>83</v>
      </c>
    </row>
    <row r="18" spans="2:14">
      <c r="B18" s="226" t="s">
        <v>115</v>
      </c>
      <c r="C18" s="226" t="s">
        <v>159</v>
      </c>
      <c r="D18" s="227"/>
      <c r="E18" s="228" t="s">
        <v>0</v>
      </c>
      <c r="F18" s="229"/>
      <c r="G18" s="230">
        <f>SUMIFS($G$19:$G$243,$C$19:$C$243,"TT")</f>
        <v>0</v>
      </c>
      <c r="H18" s="231">
        <f>SUMIFS($H$19:$H$244,$C$19:$C$244,"TT")</f>
        <v>0</v>
      </c>
      <c r="I18" s="231">
        <f>SUMIFS($I$19:$I$244,$C$19:$C$244,"TT")</f>
        <v>0</v>
      </c>
      <c r="J18"/>
      <c r="K18" s="230"/>
      <c r="L18" s="231">
        <f>SUMIF($C$19:$C$244,"TT",$L$19:$L$244)</f>
        <v>0</v>
      </c>
    </row>
    <row r="19" spans="2:14">
      <c r="B19" s="232" t="s">
        <v>108</v>
      </c>
      <c r="C19" s="232" t="s">
        <v>80</v>
      </c>
      <c r="D19" s="232">
        <v>1</v>
      </c>
      <c r="E19" s="233" t="s">
        <v>85</v>
      </c>
      <c r="F19" s="234"/>
      <c r="G19" s="538"/>
      <c r="H19" s="17"/>
      <c r="I19" s="17"/>
      <c r="J19"/>
      <c r="K19" s="235">
        <v>0</v>
      </c>
      <c r="L19" s="236">
        <f>SUM(H19:I19)*K19</f>
        <v>0</v>
      </c>
      <c r="N19" s="237"/>
    </row>
    <row r="20" spans="2:14">
      <c r="B20" s="238" t="s">
        <v>108</v>
      </c>
      <c r="C20" s="238" t="s">
        <v>80</v>
      </c>
      <c r="D20" s="238">
        <v>2</v>
      </c>
      <c r="E20" s="239" t="s">
        <v>443</v>
      </c>
      <c r="F20" s="123"/>
      <c r="G20" s="539"/>
      <c r="H20" s="540">
        <f>SUM(H21:H26)</f>
        <v>0</v>
      </c>
      <c r="I20" s="540">
        <f>SUM(I21:I26)</f>
        <v>0</v>
      </c>
      <c r="J20"/>
      <c r="K20" s="240"/>
      <c r="L20" s="241">
        <f>SUM(L21:L26)</f>
        <v>0</v>
      </c>
      <c r="N20" s="237"/>
    </row>
    <row r="21" spans="2:14">
      <c r="B21" s="242"/>
      <c r="C21" s="242"/>
      <c r="D21" s="242">
        <v>2.1</v>
      </c>
      <c r="E21" s="243" t="s">
        <v>326</v>
      </c>
      <c r="F21" s="244"/>
      <c r="G21" s="541"/>
      <c r="H21" s="18"/>
      <c r="I21" s="18"/>
      <c r="J21"/>
      <c r="K21" s="245">
        <v>1.4999999999999999E-2</v>
      </c>
      <c r="L21" s="246">
        <f>SUM(H21:I21)*K21</f>
        <v>0</v>
      </c>
      <c r="N21" s="237"/>
    </row>
    <row r="22" spans="2:14">
      <c r="B22" s="242"/>
      <c r="C22" s="242"/>
      <c r="D22" s="242">
        <v>2.2000000000000002</v>
      </c>
      <c r="E22" s="243" t="s">
        <v>327</v>
      </c>
      <c r="F22" s="244"/>
      <c r="G22" s="541"/>
      <c r="H22" s="18"/>
      <c r="I22" s="18"/>
      <c r="J22"/>
      <c r="K22" s="245">
        <v>0.04</v>
      </c>
      <c r="L22" s="246">
        <f>SUM(H22:I22)*K22</f>
        <v>0</v>
      </c>
      <c r="N22" s="237"/>
    </row>
    <row r="23" spans="2:14">
      <c r="B23" s="242"/>
      <c r="C23" s="242"/>
      <c r="D23" s="242">
        <v>2.2999999999999998</v>
      </c>
      <c r="E23" s="243" t="s">
        <v>328</v>
      </c>
      <c r="F23" s="244"/>
      <c r="G23" s="541"/>
      <c r="H23" s="18"/>
      <c r="I23" s="18"/>
      <c r="J23"/>
      <c r="K23" s="245">
        <v>0.06</v>
      </c>
      <c r="L23" s="246">
        <f>SUM(H23:I23)*K23</f>
        <v>0</v>
      </c>
      <c r="N23" s="237"/>
    </row>
    <row r="24" spans="2:14">
      <c r="B24" s="242"/>
      <c r="C24" s="242"/>
      <c r="D24" s="242">
        <v>2.4</v>
      </c>
      <c r="E24" s="243" t="s">
        <v>329</v>
      </c>
      <c r="F24" s="244"/>
      <c r="G24" s="541"/>
      <c r="H24" s="18"/>
      <c r="I24" s="18"/>
      <c r="J24"/>
      <c r="K24" s="245">
        <v>0.12</v>
      </c>
      <c r="L24" s="246">
        <f>SUM(H24:I24)*K24</f>
        <v>0</v>
      </c>
      <c r="N24" s="237"/>
    </row>
    <row r="25" spans="2:14">
      <c r="B25" s="242"/>
      <c r="C25" s="242"/>
      <c r="D25" s="242">
        <v>2.5</v>
      </c>
      <c r="E25" s="243" t="s">
        <v>330</v>
      </c>
      <c r="F25" s="244"/>
      <c r="G25" s="541"/>
      <c r="H25" s="18"/>
      <c r="I25" s="18"/>
      <c r="J25"/>
      <c r="K25" s="245">
        <v>0.25</v>
      </c>
      <c r="L25" s="246">
        <f>SUM(H25:I25)*K25</f>
        <v>0</v>
      </c>
      <c r="N25" s="237"/>
    </row>
    <row r="26" spans="2:14">
      <c r="B26" s="242"/>
      <c r="C26" s="242"/>
      <c r="D26" s="242">
        <v>2.6</v>
      </c>
      <c r="E26" s="243" t="s">
        <v>4</v>
      </c>
      <c r="F26" s="244"/>
      <c r="G26" s="541"/>
      <c r="H26" s="542">
        <f>SUM(H27:H28)</f>
        <v>0</v>
      </c>
      <c r="I26" s="542">
        <f>SUM(I27:I28)</f>
        <v>0</v>
      </c>
      <c r="J26"/>
      <c r="K26" s="247"/>
      <c r="L26" s="246">
        <f>SUM(L27:L28)</f>
        <v>0</v>
      </c>
      <c r="N26" s="237"/>
    </row>
    <row r="27" spans="2:14">
      <c r="B27" s="242"/>
      <c r="C27" s="242"/>
      <c r="D27" s="242" t="s">
        <v>167</v>
      </c>
      <c r="E27" s="248" t="s">
        <v>189</v>
      </c>
      <c r="F27" s="244"/>
      <c r="G27" s="541"/>
      <c r="H27" s="21"/>
      <c r="I27" s="21"/>
      <c r="J27"/>
      <c r="K27" s="245">
        <v>0.15</v>
      </c>
      <c r="L27" s="249">
        <f>SUM(H27:I27)*K27</f>
        <v>0</v>
      </c>
      <c r="N27" s="237"/>
    </row>
    <row r="28" spans="2:14">
      <c r="B28" s="250"/>
      <c r="C28" s="250"/>
      <c r="D28" s="250" t="s">
        <v>168</v>
      </c>
      <c r="E28" s="251" t="s">
        <v>16</v>
      </c>
      <c r="F28" s="252"/>
      <c r="G28" s="543"/>
      <c r="H28" s="19"/>
      <c r="I28" s="19"/>
      <c r="J28"/>
      <c r="K28" s="502">
        <v>0.25</v>
      </c>
      <c r="L28" s="253">
        <f>SUM(H28:I28)*K28</f>
        <v>0</v>
      </c>
      <c r="N28" s="237"/>
    </row>
    <row r="29" spans="2:14">
      <c r="B29" s="238" t="s">
        <v>108</v>
      </c>
      <c r="C29" s="238" t="s">
        <v>80</v>
      </c>
      <c r="D29" s="238">
        <v>3</v>
      </c>
      <c r="E29" s="239" t="s">
        <v>444</v>
      </c>
      <c r="F29" s="123"/>
      <c r="G29" s="539"/>
      <c r="H29" s="540">
        <f>SUM(H30:H35)</f>
        <v>0</v>
      </c>
      <c r="I29" s="540">
        <f>SUM(I30:I35)</f>
        <v>0</v>
      </c>
      <c r="J29"/>
      <c r="K29" s="254"/>
      <c r="L29" s="255">
        <f>SUM(L30:L35)</f>
        <v>0</v>
      </c>
      <c r="N29" s="237"/>
    </row>
    <row r="30" spans="2:14">
      <c r="B30" s="242"/>
      <c r="C30" s="242"/>
      <c r="D30" s="242">
        <v>3.1</v>
      </c>
      <c r="E30" s="243" t="s">
        <v>326</v>
      </c>
      <c r="F30" s="244"/>
      <c r="G30" s="541"/>
      <c r="H30" s="18"/>
      <c r="I30" s="18"/>
      <c r="J30"/>
      <c r="K30" s="245">
        <v>1.4999999999999999E-2</v>
      </c>
      <c r="L30" s="246">
        <f>SUM(H30:I30)*K30</f>
        <v>0</v>
      </c>
      <c r="N30" s="237"/>
    </row>
    <row r="31" spans="2:14">
      <c r="B31" s="242"/>
      <c r="C31" s="242"/>
      <c r="D31" s="242">
        <v>3.2</v>
      </c>
      <c r="E31" s="243" t="s">
        <v>327</v>
      </c>
      <c r="F31" s="244"/>
      <c r="G31" s="541"/>
      <c r="H31" s="18"/>
      <c r="I31" s="18"/>
      <c r="J31"/>
      <c r="K31" s="245">
        <v>0.04</v>
      </c>
      <c r="L31" s="246">
        <f>SUM(H31:I31)*K31</f>
        <v>0</v>
      </c>
      <c r="N31" s="237"/>
    </row>
    <row r="32" spans="2:14">
      <c r="B32" s="242"/>
      <c r="C32" s="242"/>
      <c r="D32" s="242">
        <v>3.3</v>
      </c>
      <c r="E32" s="243" t="s">
        <v>328</v>
      </c>
      <c r="F32" s="244"/>
      <c r="G32" s="541"/>
      <c r="H32" s="18"/>
      <c r="I32" s="18"/>
      <c r="J32"/>
      <c r="K32" s="245">
        <v>0.06</v>
      </c>
      <c r="L32" s="246">
        <f>SUM(H32:I32)*K32</f>
        <v>0</v>
      </c>
      <c r="N32" s="237"/>
    </row>
    <row r="33" spans="2:14">
      <c r="B33" s="242"/>
      <c r="C33" s="242"/>
      <c r="D33" s="242">
        <v>3.4</v>
      </c>
      <c r="E33" s="243" t="s">
        <v>329</v>
      </c>
      <c r="F33" s="244"/>
      <c r="G33" s="541"/>
      <c r="H33" s="18"/>
      <c r="I33" s="18"/>
      <c r="J33"/>
      <c r="K33" s="245">
        <v>0.12</v>
      </c>
      <c r="L33" s="246">
        <f>SUM(H33:I33)*K33</f>
        <v>0</v>
      </c>
      <c r="N33" s="237"/>
    </row>
    <row r="34" spans="2:14">
      <c r="B34" s="242"/>
      <c r="C34" s="242"/>
      <c r="D34" s="242">
        <v>3.5</v>
      </c>
      <c r="E34" s="243" t="s">
        <v>330</v>
      </c>
      <c r="F34" s="244"/>
      <c r="G34" s="541"/>
      <c r="H34" s="18"/>
      <c r="I34" s="18"/>
      <c r="J34"/>
      <c r="K34" s="245">
        <v>0.25</v>
      </c>
      <c r="L34" s="246">
        <f>SUM(H34:I34)*K34</f>
        <v>0</v>
      </c>
      <c r="N34" s="237"/>
    </row>
    <row r="35" spans="2:14">
      <c r="B35" s="242"/>
      <c r="C35" s="242"/>
      <c r="D35" s="242">
        <v>3.6</v>
      </c>
      <c r="E35" s="243" t="s">
        <v>4</v>
      </c>
      <c r="F35" s="244"/>
      <c r="G35" s="541"/>
      <c r="H35" s="542">
        <f>SUM(H36:H37)</f>
        <v>0</v>
      </c>
      <c r="I35" s="542">
        <f>SUM(I36:I37)</f>
        <v>0</v>
      </c>
      <c r="J35"/>
      <c r="K35" s="247"/>
      <c r="L35" s="246">
        <f>SUM(L36:L37)</f>
        <v>0</v>
      </c>
      <c r="N35" s="237"/>
    </row>
    <row r="36" spans="2:14">
      <c r="B36" s="242"/>
      <c r="C36" s="242"/>
      <c r="D36" s="242" t="s">
        <v>226</v>
      </c>
      <c r="E36" s="256" t="s">
        <v>189</v>
      </c>
      <c r="F36" s="244"/>
      <c r="G36" s="541"/>
      <c r="H36" s="21"/>
      <c r="I36" s="21"/>
      <c r="J36"/>
      <c r="K36" s="245">
        <v>0.15</v>
      </c>
      <c r="L36" s="246">
        <f>SUM(H36:I36)*K36</f>
        <v>0</v>
      </c>
      <c r="N36" s="237"/>
    </row>
    <row r="37" spans="2:14">
      <c r="B37" s="242"/>
      <c r="C37" s="242"/>
      <c r="D37" s="242" t="s">
        <v>227</v>
      </c>
      <c r="E37" s="257" t="s">
        <v>16</v>
      </c>
      <c r="F37" s="244"/>
      <c r="G37" s="543"/>
      <c r="H37" s="19"/>
      <c r="I37" s="19"/>
      <c r="J37"/>
      <c r="K37" s="502">
        <v>0.25</v>
      </c>
      <c r="L37" s="253">
        <f>SUM(H37:I37)*K37</f>
        <v>0</v>
      </c>
      <c r="N37" s="237"/>
    </row>
    <row r="38" spans="2:14" s="59" customFormat="1">
      <c r="B38" s="258" t="s">
        <v>147</v>
      </c>
      <c r="C38" s="258" t="s">
        <v>80</v>
      </c>
      <c r="D38" s="258">
        <v>4</v>
      </c>
      <c r="E38" s="259" t="s">
        <v>228</v>
      </c>
      <c r="F38" s="260"/>
      <c r="G38" s="544">
        <f>SUM(G39:G45)</f>
        <v>0</v>
      </c>
      <c r="H38" s="545">
        <f>SUM(H39:H45)</f>
        <v>0</v>
      </c>
      <c r="I38" s="545">
        <f>SUM(I39:I45)</f>
        <v>0</v>
      </c>
      <c r="K38" s="261"/>
      <c r="L38" s="246">
        <f>SUM(L39:L45)</f>
        <v>0</v>
      </c>
      <c r="N38" s="237"/>
    </row>
    <row r="39" spans="2:14">
      <c r="B39" s="262"/>
      <c r="C39" s="262"/>
      <c r="D39" s="263">
        <v>4.0999999999999996</v>
      </c>
      <c r="E39" s="243" t="s">
        <v>229</v>
      </c>
      <c r="F39" s="196"/>
      <c r="G39" s="503"/>
      <c r="H39" s="18"/>
      <c r="I39" s="18"/>
      <c r="J39" s="212" t="str">
        <f>IF(AND(LEFT(E39,4)="For ",SUM(H39:I39)&gt;0,G39=""),"Error: No input in cell "&amp;ADDRESS(ROW(G39),COLUMN(G39),4),"")</f>
        <v/>
      </c>
      <c r="K39" s="527">
        <f>IFERROR(VLOOKUP(G39,'RC%_Receivables'!$J$11:$L$15,3,TRUE),'RC%_Receivables'!$L$11)</f>
        <v>5.1999999999999998E-2</v>
      </c>
      <c r="L39" s="246">
        <f t="shared" ref="L39:L45" si="0">SUM(H39:I39)*K39</f>
        <v>0</v>
      </c>
      <c r="N39" s="237"/>
    </row>
    <row r="40" spans="2:14" s="59" customFormat="1">
      <c r="B40" s="262"/>
      <c r="C40" s="262"/>
      <c r="D40" s="263">
        <v>4.2</v>
      </c>
      <c r="E40" s="243" t="s">
        <v>230</v>
      </c>
      <c r="F40" s="264"/>
      <c r="G40" s="503"/>
      <c r="H40" s="18"/>
      <c r="I40" s="18"/>
      <c r="J40" s="212" t="str">
        <f t="shared" ref="J40:J45" si="1">IF(AND(LEFT(E40,4)="For ",SUM(H40:I40)&gt;0,G40=""),"Error: No input in cell "&amp;ADDRESS(ROW(G40),COLUMN(G40),4),"")</f>
        <v/>
      </c>
      <c r="K40" s="527">
        <f>IFERROR(VLOOKUP(G40,'RC%_Receivables'!$J$11:$M$15,4,TRUE),'RC%_Receivables'!$M$11)</f>
        <v>0.16700000000000001</v>
      </c>
      <c r="L40" s="246">
        <f t="shared" si="0"/>
        <v>0</v>
      </c>
      <c r="N40" s="237"/>
    </row>
    <row r="41" spans="2:14" s="59" customFormat="1">
      <c r="B41" s="262"/>
      <c r="C41" s="262"/>
      <c r="D41" s="263">
        <v>4.3</v>
      </c>
      <c r="E41" s="243" t="s">
        <v>231</v>
      </c>
      <c r="F41" s="264"/>
      <c r="G41" s="503"/>
      <c r="H41" s="18"/>
      <c r="I41" s="18"/>
      <c r="J41" s="212" t="str">
        <f t="shared" si="1"/>
        <v/>
      </c>
      <c r="K41" s="527">
        <f>IFERROR(VLOOKUP(G41,'RC%_Receivables'!$J$11:$N$15,5,TRUE),'RC%_Receivables'!$N$11)</f>
        <v>0.38200000000000001</v>
      </c>
      <c r="L41" s="246">
        <f t="shared" si="0"/>
        <v>0</v>
      </c>
      <c r="N41" s="237"/>
    </row>
    <row r="42" spans="2:14" s="59" customFormat="1">
      <c r="B42" s="262"/>
      <c r="C42" s="262"/>
      <c r="D42" s="263">
        <v>4.4000000000000004</v>
      </c>
      <c r="E42" s="243" t="s">
        <v>232</v>
      </c>
      <c r="F42" s="264"/>
      <c r="G42" s="503"/>
      <c r="H42" s="18"/>
      <c r="I42" s="18"/>
      <c r="J42" s="212" t="str">
        <f t="shared" si="1"/>
        <v/>
      </c>
      <c r="K42" s="527">
        <f>IFERROR(VLOOKUP(G42,'RC%_Receivables'!$J$11:$O$15,6,TRUE),'RC%_Receivables'!$O$11)</f>
        <v>0.71199999999999997</v>
      </c>
      <c r="L42" s="246">
        <f t="shared" si="0"/>
        <v>0</v>
      </c>
      <c r="N42" s="237"/>
    </row>
    <row r="43" spans="2:14" s="59" customFormat="1">
      <c r="B43" s="262"/>
      <c r="C43" s="262"/>
      <c r="D43" s="263">
        <v>4.5</v>
      </c>
      <c r="E43" s="243" t="s">
        <v>286</v>
      </c>
      <c r="F43" s="264"/>
      <c r="G43" s="503"/>
      <c r="H43" s="18"/>
      <c r="I43" s="18"/>
      <c r="J43" s="212" t="str">
        <f t="shared" si="1"/>
        <v/>
      </c>
      <c r="K43" s="527">
        <f>IFERROR(VLOOKUP(G43,'RC%_Receivables'!$J$11:$P$15,7,TRUE),'RC%_Receivables'!$P$11)</f>
        <v>1</v>
      </c>
      <c r="L43" s="246">
        <f t="shared" si="0"/>
        <v>0</v>
      </c>
      <c r="N43" s="237"/>
    </row>
    <row r="44" spans="2:14" s="59" customFormat="1">
      <c r="B44" s="265"/>
      <c r="C44" s="265"/>
      <c r="D44" s="263">
        <v>4.5999999999999996</v>
      </c>
      <c r="E44" s="243" t="s">
        <v>287</v>
      </c>
      <c r="F44" s="266"/>
      <c r="G44" s="503"/>
      <c r="H44" s="18"/>
      <c r="I44" s="33"/>
      <c r="J44" s="212" t="str">
        <f t="shared" si="1"/>
        <v/>
      </c>
      <c r="K44" s="527">
        <f>IFERROR(VLOOKUP(G44,'RC%_Receivables'!$J$11:$Q$15,8,TRUE),'RC%_Receivables'!$Q$11)</f>
        <v>1</v>
      </c>
      <c r="L44" s="246">
        <f t="shared" si="0"/>
        <v>0</v>
      </c>
      <c r="N44" s="237"/>
    </row>
    <row r="45" spans="2:14" s="59" customFormat="1">
      <c r="B45" s="265"/>
      <c r="C45" s="265"/>
      <c r="D45" s="263">
        <v>4.7</v>
      </c>
      <c r="E45" s="243" t="s">
        <v>288</v>
      </c>
      <c r="F45" s="266"/>
      <c r="G45" s="504"/>
      <c r="H45" s="18"/>
      <c r="I45" s="33"/>
      <c r="J45" s="212" t="str">
        <f t="shared" si="1"/>
        <v/>
      </c>
      <c r="K45" s="527">
        <f>IFERROR(VLOOKUP(G45,'RC%_Receivables'!$J$11:$R$15,9,TRUE),'RC%_Receivables'!$R$11)</f>
        <v>1</v>
      </c>
      <c r="L45" s="246">
        <f t="shared" si="0"/>
        <v>0</v>
      </c>
      <c r="N45" s="237"/>
    </row>
    <row r="46" spans="2:14" s="59" customFormat="1">
      <c r="B46" s="258" t="s">
        <v>147</v>
      </c>
      <c r="C46" s="258" t="s">
        <v>80</v>
      </c>
      <c r="D46" s="258">
        <v>5</v>
      </c>
      <c r="E46" s="259" t="s">
        <v>233</v>
      </c>
      <c r="F46" s="260"/>
      <c r="G46" s="539"/>
      <c r="H46" s="540">
        <f>SUM(H47:H52)</f>
        <v>0</v>
      </c>
      <c r="I46" s="540">
        <f>SUM(I47:I52)</f>
        <v>0</v>
      </c>
      <c r="K46" s="261"/>
      <c r="L46" s="267">
        <f>SUM(L47:L52)</f>
        <v>0</v>
      </c>
      <c r="N46" s="237"/>
    </row>
    <row r="47" spans="2:14">
      <c r="B47" s="262"/>
      <c r="C47" s="262"/>
      <c r="D47" s="263">
        <v>5.0999999999999996</v>
      </c>
      <c r="E47" s="243" t="s">
        <v>326</v>
      </c>
      <c r="F47" s="196"/>
      <c r="G47" s="541"/>
      <c r="H47" s="18"/>
      <c r="I47" s="18"/>
      <c r="J47" s="212" t="str">
        <f>IF(AND(LEFT(E47,4)="For ",H47&gt;0,G47=""),"Error: No input in cell "&amp;ADDRESS(ROW(G47),COLUMN(G47),4),"")</f>
        <v/>
      </c>
      <c r="K47" s="245">
        <v>1.4999999999999999E-2</v>
      </c>
      <c r="L47" s="268">
        <f t="shared" ref="L47:L99" si="2">SUM(H47:I47)*K47</f>
        <v>0</v>
      </c>
      <c r="N47" s="237"/>
    </row>
    <row r="48" spans="2:14" s="59" customFormat="1">
      <c r="B48" s="262"/>
      <c r="C48" s="262"/>
      <c r="D48" s="263">
        <v>5.2</v>
      </c>
      <c r="E48" s="243" t="s">
        <v>327</v>
      </c>
      <c r="F48" s="264"/>
      <c r="G48" s="541"/>
      <c r="H48" s="18"/>
      <c r="I48" s="18"/>
      <c r="J48" s="212" t="str">
        <f t="shared" ref="J48:J54" si="3">IF(AND(LEFT(E48,4)="For ",H48&gt;0,G48=""),"Error: No input in cell "&amp;ADDRESS(ROW(G48),COLUMN(G48),4),"")</f>
        <v/>
      </c>
      <c r="K48" s="245">
        <v>0.04</v>
      </c>
      <c r="L48" s="268">
        <f t="shared" si="2"/>
        <v>0</v>
      </c>
      <c r="N48" s="237"/>
    </row>
    <row r="49" spans="2:14" s="59" customFormat="1">
      <c r="B49" s="262"/>
      <c r="C49" s="262"/>
      <c r="D49" s="263">
        <v>5.3</v>
      </c>
      <c r="E49" s="243" t="s">
        <v>328</v>
      </c>
      <c r="F49" s="264"/>
      <c r="G49" s="541"/>
      <c r="H49" s="18"/>
      <c r="I49" s="18"/>
      <c r="J49" s="212" t="str">
        <f t="shared" si="3"/>
        <v/>
      </c>
      <c r="K49" s="245">
        <v>0.06</v>
      </c>
      <c r="L49" s="268">
        <f t="shared" si="2"/>
        <v>0</v>
      </c>
      <c r="N49" s="237"/>
    </row>
    <row r="50" spans="2:14" s="59" customFormat="1">
      <c r="B50" s="262"/>
      <c r="C50" s="262"/>
      <c r="D50" s="263">
        <v>5.4</v>
      </c>
      <c r="E50" s="243" t="s">
        <v>329</v>
      </c>
      <c r="F50" s="264"/>
      <c r="G50" s="541"/>
      <c r="H50" s="18"/>
      <c r="I50" s="18"/>
      <c r="J50" s="212" t="str">
        <f t="shared" si="3"/>
        <v/>
      </c>
      <c r="K50" s="245">
        <v>0.12</v>
      </c>
      <c r="L50" s="268">
        <f t="shared" si="2"/>
        <v>0</v>
      </c>
      <c r="N50" s="237"/>
    </row>
    <row r="51" spans="2:14" s="59" customFormat="1">
      <c r="B51" s="262"/>
      <c r="C51" s="262"/>
      <c r="D51" s="263">
        <v>5.5</v>
      </c>
      <c r="E51" s="243" t="s">
        <v>330</v>
      </c>
      <c r="F51" s="264"/>
      <c r="G51" s="541"/>
      <c r="H51" s="18"/>
      <c r="I51" s="18"/>
      <c r="J51" s="212" t="str">
        <f t="shared" si="3"/>
        <v/>
      </c>
      <c r="K51" s="245">
        <v>0.25</v>
      </c>
      <c r="L51" s="268">
        <f t="shared" si="2"/>
        <v>0</v>
      </c>
      <c r="N51" s="237"/>
    </row>
    <row r="52" spans="2:14" s="59" customFormat="1">
      <c r="B52" s="265"/>
      <c r="C52" s="265"/>
      <c r="D52" s="263">
        <v>5.6</v>
      </c>
      <c r="E52" s="243" t="s">
        <v>4</v>
      </c>
      <c r="F52" s="266"/>
      <c r="G52" s="541"/>
      <c r="H52" s="542">
        <f>SUM(H53:H54)</f>
        <v>0</v>
      </c>
      <c r="I52" s="542">
        <f>SUM(I53:I54)</f>
        <v>0</v>
      </c>
      <c r="J52" s="212" t="str">
        <f t="shared" si="3"/>
        <v/>
      </c>
      <c r="K52" s="247"/>
      <c r="L52" s="268">
        <f>SUM(L53:L54)</f>
        <v>0</v>
      </c>
      <c r="N52" s="237"/>
    </row>
    <row r="53" spans="2:14" s="59" customFormat="1">
      <c r="B53" s="265"/>
      <c r="C53" s="265"/>
      <c r="D53" s="263" t="s">
        <v>382</v>
      </c>
      <c r="E53" s="248" t="s">
        <v>189</v>
      </c>
      <c r="F53" s="266"/>
      <c r="G53" s="541"/>
      <c r="H53" s="21"/>
      <c r="I53" s="21"/>
      <c r="J53" s="212"/>
      <c r="K53" s="245">
        <v>0.15</v>
      </c>
      <c r="L53" s="268">
        <f>SUM(H53:I53)*K53</f>
        <v>0</v>
      </c>
      <c r="N53" s="237"/>
    </row>
    <row r="54" spans="2:14" s="59" customFormat="1">
      <c r="B54" s="265"/>
      <c r="C54" s="265"/>
      <c r="D54" s="263" t="s">
        <v>383</v>
      </c>
      <c r="E54" s="251" t="s">
        <v>16</v>
      </c>
      <c r="F54" s="266"/>
      <c r="G54" s="543"/>
      <c r="H54" s="19"/>
      <c r="I54" s="19"/>
      <c r="J54" s="212" t="str">
        <f t="shared" si="3"/>
        <v/>
      </c>
      <c r="K54" s="502">
        <v>0.25</v>
      </c>
      <c r="L54" s="268">
        <f t="shared" si="2"/>
        <v>0</v>
      </c>
      <c r="N54" s="237"/>
    </row>
    <row r="55" spans="2:14" s="59" customFormat="1">
      <c r="B55" s="258" t="s">
        <v>147</v>
      </c>
      <c r="C55" s="258" t="s">
        <v>80</v>
      </c>
      <c r="D55" s="258">
        <v>6</v>
      </c>
      <c r="E55" s="259" t="s">
        <v>289</v>
      </c>
      <c r="F55" s="260"/>
      <c r="G55" s="539"/>
      <c r="H55" s="540">
        <f>SUM(H56:H61)</f>
        <v>0</v>
      </c>
      <c r="I55" s="540">
        <f>SUM(I56:I61)</f>
        <v>0</v>
      </c>
      <c r="K55" s="261"/>
      <c r="L55" s="267">
        <f>SUM(L56:L61)</f>
        <v>0</v>
      </c>
      <c r="N55" s="237"/>
    </row>
    <row r="56" spans="2:14">
      <c r="B56" s="262"/>
      <c r="C56" s="262"/>
      <c r="D56" s="263">
        <v>6.1</v>
      </c>
      <c r="E56" s="243" t="s">
        <v>326</v>
      </c>
      <c r="F56" s="196"/>
      <c r="G56" s="541"/>
      <c r="H56" s="18"/>
      <c r="I56" s="18"/>
      <c r="J56" s="212" t="str">
        <f>IF(AND(LEFT(E56,4)="For ",H56&gt;0,G56=""),"Error: No input in cell "&amp;ADDRESS(ROW(G56),COLUMN(G56),4),"")</f>
        <v/>
      </c>
      <c r="K56" s="245">
        <v>1.4999999999999999E-2</v>
      </c>
      <c r="L56" s="268">
        <f t="shared" si="2"/>
        <v>0</v>
      </c>
      <c r="N56" s="237"/>
    </row>
    <row r="57" spans="2:14" s="59" customFormat="1">
      <c r="B57" s="262"/>
      <c r="C57" s="262"/>
      <c r="D57" s="263">
        <v>6.2</v>
      </c>
      <c r="E57" s="243" t="s">
        <v>327</v>
      </c>
      <c r="F57" s="264"/>
      <c r="G57" s="541"/>
      <c r="H57" s="18"/>
      <c r="I57" s="18"/>
      <c r="J57" s="212" t="str">
        <f t="shared" ref="J57:J63" si="4">IF(AND(LEFT(E57,4)="For ",H57&gt;0,G57=""),"Error: No input in cell "&amp;ADDRESS(ROW(G57),COLUMN(G57),4),"")</f>
        <v/>
      </c>
      <c r="K57" s="245">
        <v>0.04</v>
      </c>
      <c r="L57" s="268">
        <f t="shared" si="2"/>
        <v>0</v>
      </c>
      <c r="N57" s="237"/>
    </row>
    <row r="58" spans="2:14" s="59" customFormat="1">
      <c r="B58" s="262"/>
      <c r="C58" s="262"/>
      <c r="D58" s="263">
        <v>6.3</v>
      </c>
      <c r="E58" s="243" t="s">
        <v>328</v>
      </c>
      <c r="F58" s="264"/>
      <c r="G58" s="541"/>
      <c r="H58" s="18"/>
      <c r="I58" s="18"/>
      <c r="J58" s="212" t="str">
        <f t="shared" si="4"/>
        <v/>
      </c>
      <c r="K58" s="245">
        <v>0.06</v>
      </c>
      <c r="L58" s="268">
        <f t="shared" si="2"/>
        <v>0</v>
      </c>
      <c r="N58" s="237"/>
    </row>
    <row r="59" spans="2:14" s="59" customFormat="1">
      <c r="B59" s="262"/>
      <c r="C59" s="262"/>
      <c r="D59" s="263">
        <v>6.4</v>
      </c>
      <c r="E59" s="243" t="s">
        <v>329</v>
      </c>
      <c r="F59" s="264"/>
      <c r="G59" s="541"/>
      <c r="H59" s="18"/>
      <c r="I59" s="18"/>
      <c r="J59" s="212" t="str">
        <f t="shared" si="4"/>
        <v/>
      </c>
      <c r="K59" s="245">
        <v>0.12</v>
      </c>
      <c r="L59" s="268">
        <f t="shared" si="2"/>
        <v>0</v>
      </c>
      <c r="N59" s="237"/>
    </row>
    <row r="60" spans="2:14" s="59" customFormat="1">
      <c r="B60" s="262"/>
      <c r="C60" s="262"/>
      <c r="D60" s="263">
        <v>6.5</v>
      </c>
      <c r="E60" s="243" t="s">
        <v>330</v>
      </c>
      <c r="F60" s="264"/>
      <c r="G60" s="541"/>
      <c r="H60" s="18"/>
      <c r="I60" s="18"/>
      <c r="J60" s="212" t="str">
        <f t="shared" si="4"/>
        <v/>
      </c>
      <c r="K60" s="245">
        <v>0.25</v>
      </c>
      <c r="L60" s="268">
        <f t="shared" si="2"/>
        <v>0</v>
      </c>
      <c r="N60" s="237"/>
    </row>
    <row r="61" spans="2:14" s="59" customFormat="1">
      <c r="B61" s="265"/>
      <c r="C61" s="265"/>
      <c r="D61" s="263">
        <v>6.6</v>
      </c>
      <c r="E61" s="243" t="s">
        <v>4</v>
      </c>
      <c r="F61" s="266"/>
      <c r="G61" s="541"/>
      <c r="H61" s="542">
        <f>SUM(H62:H63)</f>
        <v>0</v>
      </c>
      <c r="I61" s="542">
        <f>SUM(I62:I63)</f>
        <v>0</v>
      </c>
      <c r="J61" s="212" t="str">
        <f t="shared" si="4"/>
        <v/>
      </c>
      <c r="K61" s="247"/>
      <c r="L61" s="268">
        <f>SUM(L62:L63)</f>
        <v>0</v>
      </c>
      <c r="N61" s="237"/>
    </row>
    <row r="62" spans="2:14" s="59" customFormat="1">
      <c r="B62" s="265"/>
      <c r="C62" s="265"/>
      <c r="D62" s="263" t="s">
        <v>384</v>
      </c>
      <c r="E62" s="248" t="s">
        <v>189</v>
      </c>
      <c r="F62" s="266"/>
      <c r="G62" s="541"/>
      <c r="H62" s="21"/>
      <c r="I62" s="21"/>
      <c r="J62" s="212"/>
      <c r="K62" s="245">
        <v>0.15</v>
      </c>
      <c r="L62" s="268">
        <f>SUM(H62:I62)*K62</f>
        <v>0</v>
      </c>
      <c r="N62" s="237"/>
    </row>
    <row r="63" spans="2:14" s="59" customFormat="1">
      <c r="B63" s="265"/>
      <c r="C63" s="265"/>
      <c r="D63" s="263" t="s">
        <v>385</v>
      </c>
      <c r="E63" s="251" t="s">
        <v>16</v>
      </c>
      <c r="F63" s="266"/>
      <c r="G63" s="543"/>
      <c r="H63" s="19"/>
      <c r="I63" s="19"/>
      <c r="J63" s="212" t="str">
        <f t="shared" si="4"/>
        <v/>
      </c>
      <c r="K63" s="502">
        <v>0.25</v>
      </c>
      <c r="L63" s="268">
        <f t="shared" si="2"/>
        <v>0</v>
      </c>
      <c r="N63" s="237"/>
    </row>
    <row r="64" spans="2:14" s="59" customFormat="1">
      <c r="B64" s="258" t="s">
        <v>147</v>
      </c>
      <c r="C64" s="258" t="s">
        <v>80</v>
      </c>
      <c r="D64" s="258">
        <v>7</v>
      </c>
      <c r="E64" s="259" t="s">
        <v>258</v>
      </c>
      <c r="F64" s="260"/>
      <c r="G64" s="539"/>
      <c r="H64" s="540">
        <f>SUM(H65:H70)</f>
        <v>0</v>
      </c>
      <c r="I64" s="540">
        <f>SUM(I65:I70)</f>
        <v>0</v>
      </c>
      <c r="K64" s="261"/>
      <c r="L64" s="267">
        <f>SUM(L65:L70)</f>
        <v>0</v>
      </c>
      <c r="N64" s="237"/>
    </row>
    <row r="65" spans="2:14" s="59" customFormat="1">
      <c r="B65" s="262"/>
      <c r="C65" s="262"/>
      <c r="D65" s="263">
        <v>7.1</v>
      </c>
      <c r="E65" s="243" t="s">
        <v>326</v>
      </c>
      <c r="F65" s="196"/>
      <c r="G65" s="541"/>
      <c r="H65" s="18"/>
      <c r="I65" s="18"/>
      <c r="J65" s="212" t="str">
        <f>IF(AND(LEFT(E65,4)="For ",H65&gt;0,G65=""),"Error: No input in cell "&amp;ADDRESS(ROW(G65),COLUMN(G65),4),"")</f>
        <v/>
      </c>
      <c r="K65" s="245">
        <v>1.4999999999999999E-2</v>
      </c>
      <c r="L65" s="268">
        <f t="shared" si="2"/>
        <v>0</v>
      </c>
      <c r="N65" s="237"/>
    </row>
    <row r="66" spans="2:14" s="59" customFormat="1">
      <c r="B66" s="262"/>
      <c r="C66" s="262"/>
      <c r="D66" s="263">
        <v>7.2</v>
      </c>
      <c r="E66" s="243" t="s">
        <v>327</v>
      </c>
      <c r="F66" s="264"/>
      <c r="G66" s="541"/>
      <c r="H66" s="18"/>
      <c r="I66" s="18"/>
      <c r="J66" s="212" t="str">
        <f t="shared" ref="J66:J72" si="5">IF(AND(LEFT(E66,4)="For ",H66&gt;0,G66=""),"Error: No input in cell "&amp;ADDRESS(ROW(G66),COLUMN(G66),4),"")</f>
        <v/>
      </c>
      <c r="K66" s="245">
        <v>0.04</v>
      </c>
      <c r="L66" s="268">
        <f t="shared" si="2"/>
        <v>0</v>
      </c>
      <c r="N66" s="237"/>
    </row>
    <row r="67" spans="2:14" s="59" customFormat="1">
      <c r="B67" s="262"/>
      <c r="C67" s="262"/>
      <c r="D67" s="263">
        <v>7.3</v>
      </c>
      <c r="E67" s="243" t="s">
        <v>328</v>
      </c>
      <c r="F67" s="264"/>
      <c r="G67" s="541"/>
      <c r="H67" s="18"/>
      <c r="I67" s="18"/>
      <c r="J67" s="212" t="str">
        <f t="shared" si="5"/>
        <v/>
      </c>
      <c r="K67" s="245">
        <v>0.06</v>
      </c>
      <c r="L67" s="268">
        <f t="shared" si="2"/>
        <v>0</v>
      </c>
      <c r="N67" s="237"/>
    </row>
    <row r="68" spans="2:14" s="59" customFormat="1">
      <c r="B68" s="262"/>
      <c r="C68" s="262"/>
      <c r="D68" s="263">
        <v>7.4</v>
      </c>
      <c r="E68" s="243" t="s">
        <v>329</v>
      </c>
      <c r="F68" s="264"/>
      <c r="G68" s="541"/>
      <c r="H68" s="18"/>
      <c r="I68" s="18"/>
      <c r="J68" s="212" t="str">
        <f t="shared" si="5"/>
        <v/>
      </c>
      <c r="K68" s="245">
        <v>0.12</v>
      </c>
      <c r="L68" s="268">
        <f t="shared" si="2"/>
        <v>0</v>
      </c>
      <c r="N68" s="237"/>
    </row>
    <row r="69" spans="2:14" s="59" customFormat="1">
      <c r="B69" s="262"/>
      <c r="C69" s="262"/>
      <c r="D69" s="263">
        <v>7.5</v>
      </c>
      <c r="E69" s="243" t="s">
        <v>330</v>
      </c>
      <c r="F69" s="264"/>
      <c r="G69" s="541"/>
      <c r="H69" s="18"/>
      <c r="I69" s="18"/>
      <c r="J69" s="212" t="str">
        <f t="shared" si="5"/>
        <v/>
      </c>
      <c r="K69" s="245">
        <v>0.25</v>
      </c>
      <c r="L69" s="268">
        <f t="shared" si="2"/>
        <v>0</v>
      </c>
      <c r="N69" s="237"/>
    </row>
    <row r="70" spans="2:14" s="59" customFormat="1">
      <c r="B70" s="265"/>
      <c r="C70" s="265"/>
      <c r="D70" s="263">
        <v>7.6</v>
      </c>
      <c r="E70" s="243" t="s">
        <v>4</v>
      </c>
      <c r="F70" s="266"/>
      <c r="G70" s="541"/>
      <c r="H70" s="542">
        <f>SUM(H71:H72)</f>
        <v>0</v>
      </c>
      <c r="I70" s="542">
        <f>SUM(I71:I72)</f>
        <v>0</v>
      </c>
      <c r="J70" s="212" t="str">
        <f t="shared" si="5"/>
        <v/>
      </c>
      <c r="K70" s="247"/>
      <c r="L70" s="268">
        <f>SUM(L71:L72)</f>
        <v>0</v>
      </c>
      <c r="N70" s="237"/>
    </row>
    <row r="71" spans="2:14" s="59" customFormat="1">
      <c r="B71" s="265"/>
      <c r="C71" s="265"/>
      <c r="D71" s="263" t="s">
        <v>386</v>
      </c>
      <c r="E71" s="248" t="s">
        <v>189</v>
      </c>
      <c r="F71" s="266"/>
      <c r="G71" s="541"/>
      <c r="H71" s="21"/>
      <c r="I71" s="21"/>
      <c r="J71" s="212"/>
      <c r="K71" s="245">
        <v>0.15</v>
      </c>
      <c r="L71" s="268">
        <f>SUM(H71:I71)*K71</f>
        <v>0</v>
      </c>
      <c r="N71" s="237"/>
    </row>
    <row r="72" spans="2:14" s="59" customFormat="1">
      <c r="B72" s="265"/>
      <c r="C72" s="265"/>
      <c r="D72" s="263" t="s">
        <v>387</v>
      </c>
      <c r="E72" s="251" t="s">
        <v>16</v>
      </c>
      <c r="F72" s="266"/>
      <c r="G72" s="543"/>
      <c r="H72" s="19"/>
      <c r="I72" s="19"/>
      <c r="J72" s="212" t="str">
        <f t="shared" si="5"/>
        <v/>
      </c>
      <c r="K72" s="502">
        <v>0.25</v>
      </c>
      <c r="L72" s="268">
        <f t="shared" si="2"/>
        <v>0</v>
      </c>
      <c r="N72" s="237"/>
    </row>
    <row r="73" spans="2:14" s="59" customFormat="1">
      <c r="B73" s="258" t="s">
        <v>145</v>
      </c>
      <c r="C73" s="258" t="s">
        <v>80</v>
      </c>
      <c r="D73" s="258">
        <v>8</v>
      </c>
      <c r="E73" s="259" t="s">
        <v>234</v>
      </c>
      <c r="F73" s="260"/>
      <c r="G73" s="539"/>
      <c r="H73" s="540">
        <f>SUM(H74:H79)</f>
        <v>0</v>
      </c>
      <c r="I73" s="540">
        <f>SUM(I74:I79)</f>
        <v>0</v>
      </c>
      <c r="K73" s="261"/>
      <c r="L73" s="267">
        <f>SUM(L74:L79)</f>
        <v>0</v>
      </c>
      <c r="N73" s="237"/>
    </row>
    <row r="74" spans="2:14" s="59" customFormat="1">
      <c r="B74" s="262"/>
      <c r="C74" s="262"/>
      <c r="D74" s="263">
        <v>8.1</v>
      </c>
      <c r="E74" s="243" t="s">
        <v>326</v>
      </c>
      <c r="F74" s="196"/>
      <c r="G74" s="541"/>
      <c r="H74" s="18"/>
      <c r="I74" s="18"/>
      <c r="K74" s="245">
        <v>1.4999999999999999E-2</v>
      </c>
      <c r="L74" s="268">
        <f t="shared" si="2"/>
        <v>0</v>
      </c>
      <c r="N74" s="237"/>
    </row>
    <row r="75" spans="2:14" s="59" customFormat="1">
      <c r="B75" s="262"/>
      <c r="C75" s="262"/>
      <c r="D75" s="263">
        <v>8.1999999999999993</v>
      </c>
      <c r="E75" s="243" t="s">
        <v>327</v>
      </c>
      <c r="F75" s="264"/>
      <c r="G75" s="541"/>
      <c r="H75" s="18"/>
      <c r="I75" s="18"/>
      <c r="K75" s="245">
        <v>0.04</v>
      </c>
      <c r="L75" s="268">
        <f t="shared" si="2"/>
        <v>0</v>
      </c>
      <c r="N75" s="237"/>
    </row>
    <row r="76" spans="2:14" s="59" customFormat="1">
      <c r="B76" s="262"/>
      <c r="C76" s="262"/>
      <c r="D76" s="263">
        <v>8.3000000000000007</v>
      </c>
      <c r="E76" s="243" t="s">
        <v>328</v>
      </c>
      <c r="F76" s="264"/>
      <c r="G76" s="541"/>
      <c r="H76" s="18"/>
      <c r="I76" s="18"/>
      <c r="K76" s="245">
        <v>0.06</v>
      </c>
      <c r="L76" s="268">
        <f t="shared" si="2"/>
        <v>0</v>
      </c>
      <c r="N76" s="237"/>
    </row>
    <row r="77" spans="2:14" s="59" customFormat="1">
      <c r="B77" s="262"/>
      <c r="C77" s="262"/>
      <c r="D77" s="263">
        <v>8.4</v>
      </c>
      <c r="E77" s="243" t="s">
        <v>329</v>
      </c>
      <c r="F77" s="264"/>
      <c r="G77" s="541"/>
      <c r="H77" s="18"/>
      <c r="I77" s="18"/>
      <c r="K77" s="245">
        <v>0.12</v>
      </c>
      <c r="L77" s="268">
        <f t="shared" si="2"/>
        <v>0</v>
      </c>
      <c r="N77" s="237"/>
    </row>
    <row r="78" spans="2:14" s="59" customFormat="1">
      <c r="B78" s="262"/>
      <c r="C78" s="262"/>
      <c r="D78" s="263">
        <v>8.5</v>
      </c>
      <c r="E78" s="243" t="s">
        <v>330</v>
      </c>
      <c r="F78" s="264"/>
      <c r="G78" s="541"/>
      <c r="H78" s="18"/>
      <c r="I78" s="18"/>
      <c r="K78" s="245">
        <v>0.25</v>
      </c>
      <c r="L78" s="268">
        <f t="shared" si="2"/>
        <v>0</v>
      </c>
      <c r="N78" s="237"/>
    </row>
    <row r="79" spans="2:14" s="59" customFormat="1">
      <c r="B79" s="265"/>
      <c r="C79" s="265"/>
      <c r="D79" s="263">
        <v>8.6</v>
      </c>
      <c r="E79" s="243" t="s">
        <v>4</v>
      </c>
      <c r="F79" s="266"/>
      <c r="G79" s="541"/>
      <c r="H79" s="542">
        <f>SUM(H80:H81)</f>
        <v>0</v>
      </c>
      <c r="I79" s="542">
        <f>SUM(I80:I81)</f>
        <v>0</v>
      </c>
      <c r="K79" s="247"/>
      <c r="L79" s="268">
        <f>SUM(L80:L81)</f>
        <v>0</v>
      </c>
      <c r="N79" s="237"/>
    </row>
    <row r="80" spans="2:14" s="59" customFormat="1">
      <c r="B80" s="265"/>
      <c r="C80" s="265"/>
      <c r="D80" s="263" t="s">
        <v>331</v>
      </c>
      <c r="E80" s="248" t="s">
        <v>189</v>
      </c>
      <c r="F80" s="266"/>
      <c r="G80" s="541"/>
      <c r="H80" s="21"/>
      <c r="I80" s="21"/>
      <c r="K80" s="245">
        <v>0.15</v>
      </c>
      <c r="L80" s="268">
        <f>SUM(H80:I80)*K80</f>
        <v>0</v>
      </c>
      <c r="N80" s="237"/>
    </row>
    <row r="81" spans="2:14" s="59" customFormat="1">
      <c r="B81" s="265"/>
      <c r="C81" s="265"/>
      <c r="D81" s="270" t="s">
        <v>332</v>
      </c>
      <c r="E81" s="251" t="s">
        <v>16</v>
      </c>
      <c r="F81" s="271"/>
      <c r="G81" s="543"/>
      <c r="H81" s="19"/>
      <c r="I81" s="19"/>
      <c r="K81" s="502">
        <v>0.25</v>
      </c>
      <c r="L81" s="268">
        <f t="shared" si="2"/>
        <v>0</v>
      </c>
      <c r="N81" s="237"/>
    </row>
    <row r="82" spans="2:14" s="59" customFormat="1">
      <c r="B82" s="258" t="s">
        <v>145</v>
      </c>
      <c r="C82" s="258" t="s">
        <v>80</v>
      </c>
      <c r="D82" s="258">
        <v>9</v>
      </c>
      <c r="E82" s="272" t="s">
        <v>259</v>
      </c>
      <c r="G82" s="539"/>
      <c r="H82" s="540">
        <f>SUM(H83:H88)</f>
        <v>0</v>
      </c>
      <c r="I82" s="540">
        <f>SUM(I83:I88)</f>
        <v>0</v>
      </c>
      <c r="K82" s="261"/>
      <c r="L82" s="267">
        <f>SUM(L83:L88)</f>
        <v>0</v>
      </c>
      <c r="N82" s="237"/>
    </row>
    <row r="83" spans="2:14">
      <c r="B83" s="262"/>
      <c r="C83" s="262"/>
      <c r="D83" s="263">
        <v>9.1</v>
      </c>
      <c r="E83" s="243" t="s">
        <v>326</v>
      </c>
      <c r="F83" s="273"/>
      <c r="G83" s="541"/>
      <c r="H83" s="18"/>
      <c r="I83" s="18"/>
      <c r="J83"/>
      <c r="K83" s="245">
        <v>1.4999999999999999E-2</v>
      </c>
      <c r="L83" s="268">
        <f t="shared" si="2"/>
        <v>0</v>
      </c>
      <c r="N83" s="237"/>
    </row>
    <row r="84" spans="2:14" s="59" customFormat="1">
      <c r="B84" s="262"/>
      <c r="C84" s="262"/>
      <c r="D84" s="263">
        <v>9.1999999999999993</v>
      </c>
      <c r="E84" s="243" t="s">
        <v>327</v>
      </c>
      <c r="F84" s="274"/>
      <c r="G84" s="541"/>
      <c r="H84" s="18"/>
      <c r="I84" s="18"/>
      <c r="K84" s="245">
        <v>0.04</v>
      </c>
      <c r="L84" s="268">
        <f t="shared" si="2"/>
        <v>0</v>
      </c>
      <c r="N84" s="237"/>
    </row>
    <row r="85" spans="2:14" s="59" customFormat="1">
      <c r="B85" s="262"/>
      <c r="C85" s="262"/>
      <c r="D85" s="263">
        <v>9.3000000000000007</v>
      </c>
      <c r="E85" s="243" t="s">
        <v>328</v>
      </c>
      <c r="F85" s="274"/>
      <c r="G85" s="541"/>
      <c r="H85" s="18"/>
      <c r="I85" s="18"/>
      <c r="K85" s="245">
        <v>0.06</v>
      </c>
      <c r="L85" s="268">
        <f t="shared" si="2"/>
        <v>0</v>
      </c>
      <c r="N85" s="237"/>
    </row>
    <row r="86" spans="2:14" s="59" customFormat="1">
      <c r="B86" s="262"/>
      <c r="C86" s="262"/>
      <c r="D86" s="263">
        <v>9.4</v>
      </c>
      <c r="E86" s="243" t="s">
        <v>329</v>
      </c>
      <c r="F86" s="274"/>
      <c r="G86" s="541"/>
      <c r="H86" s="18"/>
      <c r="I86" s="18"/>
      <c r="K86" s="245">
        <v>0.12</v>
      </c>
      <c r="L86" s="268">
        <f t="shared" si="2"/>
        <v>0</v>
      </c>
      <c r="N86" s="237"/>
    </row>
    <row r="87" spans="2:14" s="59" customFormat="1">
      <c r="B87" s="262"/>
      <c r="C87" s="262"/>
      <c r="D87" s="263">
        <v>9.5</v>
      </c>
      <c r="E87" s="243" t="s">
        <v>330</v>
      </c>
      <c r="F87" s="274"/>
      <c r="G87" s="541"/>
      <c r="H87" s="18"/>
      <c r="I87" s="18"/>
      <c r="K87" s="245">
        <v>0.25</v>
      </c>
      <c r="L87" s="268">
        <f t="shared" si="2"/>
        <v>0</v>
      </c>
      <c r="N87" s="237"/>
    </row>
    <row r="88" spans="2:14" s="59" customFormat="1">
      <c r="B88" s="262"/>
      <c r="C88" s="275"/>
      <c r="D88" s="263">
        <v>9.6</v>
      </c>
      <c r="E88" s="243" t="s">
        <v>4</v>
      </c>
      <c r="F88" s="276"/>
      <c r="G88" s="541"/>
      <c r="H88" s="542">
        <f>SUM(H89:H90)</f>
        <v>0</v>
      </c>
      <c r="I88" s="542">
        <f>SUM(I89:I90)</f>
        <v>0</v>
      </c>
      <c r="K88" s="247"/>
      <c r="L88" s="268">
        <f>SUM(L89:L90)</f>
        <v>0</v>
      </c>
      <c r="N88" s="237"/>
    </row>
    <row r="89" spans="2:14" s="59" customFormat="1">
      <c r="B89" s="262"/>
      <c r="C89" s="275"/>
      <c r="D89" s="263" t="s">
        <v>333</v>
      </c>
      <c r="E89" s="248" t="s">
        <v>189</v>
      </c>
      <c r="F89" s="276"/>
      <c r="G89" s="541"/>
      <c r="H89" s="21"/>
      <c r="I89" s="21"/>
      <c r="K89" s="245">
        <v>0.15</v>
      </c>
      <c r="L89" s="268">
        <f>SUM(H89:I89)*K89</f>
        <v>0</v>
      </c>
      <c r="N89" s="237"/>
    </row>
    <row r="90" spans="2:14" s="59" customFormat="1">
      <c r="B90" s="262"/>
      <c r="C90" s="275"/>
      <c r="D90" s="263" t="s">
        <v>334</v>
      </c>
      <c r="E90" s="251" t="s">
        <v>16</v>
      </c>
      <c r="F90" s="276"/>
      <c r="G90" s="543"/>
      <c r="H90" s="19"/>
      <c r="I90" s="19"/>
      <c r="K90" s="502">
        <v>0.25</v>
      </c>
      <c r="L90" s="268">
        <f t="shared" si="2"/>
        <v>0</v>
      </c>
      <c r="N90" s="237"/>
    </row>
    <row r="91" spans="2:14" s="59" customFormat="1">
      <c r="B91" s="258" t="s">
        <v>147</v>
      </c>
      <c r="C91" s="258" t="s">
        <v>80</v>
      </c>
      <c r="D91" s="258">
        <v>10</v>
      </c>
      <c r="E91" s="259" t="s">
        <v>260</v>
      </c>
      <c r="F91" s="260"/>
      <c r="G91" s="539"/>
      <c r="H91" s="540">
        <f>SUM(H92:H97)</f>
        <v>0</v>
      </c>
      <c r="I91" s="540">
        <f>SUM(I92:I97)</f>
        <v>0</v>
      </c>
      <c r="K91" s="261"/>
      <c r="L91" s="267">
        <f>SUM(L92:L97)</f>
        <v>0</v>
      </c>
      <c r="N91" s="237"/>
    </row>
    <row r="92" spans="2:14" s="59" customFormat="1">
      <c r="B92" s="262"/>
      <c r="C92" s="262"/>
      <c r="D92" s="263">
        <v>10.1</v>
      </c>
      <c r="E92" s="243" t="s">
        <v>326</v>
      </c>
      <c r="F92" s="196"/>
      <c r="G92" s="541"/>
      <c r="H92" s="18"/>
      <c r="I92" s="18"/>
      <c r="J92" s="212" t="str">
        <f>IF(AND(LEFT(E92,4)="For ",H92&gt;0,G92=""),"Error: No input in cell "&amp;ADDRESS(ROW(G92),COLUMN(G92),4),"")</f>
        <v/>
      </c>
      <c r="K92" s="245">
        <v>1.4999999999999999E-2</v>
      </c>
      <c r="L92" s="268">
        <f t="shared" si="2"/>
        <v>0</v>
      </c>
      <c r="N92" s="237"/>
    </row>
    <row r="93" spans="2:14" s="59" customFormat="1">
      <c r="B93" s="262"/>
      <c r="C93" s="262"/>
      <c r="D93" s="263">
        <v>10.199999999999999</v>
      </c>
      <c r="E93" s="243" t="s">
        <v>327</v>
      </c>
      <c r="F93" s="264"/>
      <c r="G93" s="541"/>
      <c r="H93" s="18"/>
      <c r="I93" s="18"/>
      <c r="J93" s="212" t="str">
        <f t="shared" ref="J93:J99" si="6">IF(AND(LEFT(E93,4)="For ",H93&gt;0,G93=""),"Error: No input in cell "&amp;ADDRESS(ROW(G93),COLUMN(G93),4),"")</f>
        <v/>
      </c>
      <c r="K93" s="245">
        <v>0.04</v>
      </c>
      <c r="L93" s="268">
        <f t="shared" si="2"/>
        <v>0</v>
      </c>
      <c r="N93" s="237"/>
    </row>
    <row r="94" spans="2:14" s="59" customFormat="1">
      <c r="B94" s="262"/>
      <c r="C94" s="262"/>
      <c r="D94" s="263">
        <v>10.3</v>
      </c>
      <c r="E94" s="243" t="s">
        <v>328</v>
      </c>
      <c r="F94" s="264"/>
      <c r="G94" s="541"/>
      <c r="H94" s="18"/>
      <c r="I94" s="18"/>
      <c r="J94" s="212" t="str">
        <f t="shared" si="6"/>
        <v/>
      </c>
      <c r="K94" s="245">
        <v>0.06</v>
      </c>
      <c r="L94" s="268">
        <f t="shared" si="2"/>
        <v>0</v>
      </c>
      <c r="N94" s="237"/>
    </row>
    <row r="95" spans="2:14" s="59" customFormat="1">
      <c r="B95" s="262"/>
      <c r="C95" s="262"/>
      <c r="D95" s="263">
        <v>10.4</v>
      </c>
      <c r="E95" s="243" t="s">
        <v>329</v>
      </c>
      <c r="F95" s="264"/>
      <c r="G95" s="541"/>
      <c r="H95" s="18"/>
      <c r="I95" s="18"/>
      <c r="J95" s="212" t="str">
        <f t="shared" si="6"/>
        <v/>
      </c>
      <c r="K95" s="245">
        <v>0.12</v>
      </c>
      <c r="L95" s="268">
        <f t="shared" si="2"/>
        <v>0</v>
      </c>
      <c r="N95" s="237"/>
    </row>
    <row r="96" spans="2:14" s="59" customFormat="1">
      <c r="B96" s="262"/>
      <c r="C96" s="262"/>
      <c r="D96" s="263">
        <v>10.5</v>
      </c>
      <c r="E96" s="243" t="s">
        <v>330</v>
      </c>
      <c r="F96" s="264"/>
      <c r="G96" s="541"/>
      <c r="H96" s="18"/>
      <c r="I96" s="18"/>
      <c r="J96" s="212" t="str">
        <f t="shared" si="6"/>
        <v/>
      </c>
      <c r="K96" s="245">
        <v>0.25</v>
      </c>
      <c r="L96" s="268">
        <f t="shared" si="2"/>
        <v>0</v>
      </c>
      <c r="N96" s="237"/>
    </row>
    <row r="97" spans="2:14" s="59" customFormat="1">
      <c r="B97" s="265"/>
      <c r="C97" s="265"/>
      <c r="D97" s="263">
        <v>10.6</v>
      </c>
      <c r="E97" s="243" t="s">
        <v>4</v>
      </c>
      <c r="F97" s="266"/>
      <c r="G97" s="541"/>
      <c r="H97" s="542">
        <f>SUM(H98:H99)</f>
        <v>0</v>
      </c>
      <c r="I97" s="542">
        <f>SUM(I98:I99)</f>
        <v>0</v>
      </c>
      <c r="J97" s="212" t="str">
        <f t="shared" si="6"/>
        <v/>
      </c>
      <c r="K97" s="247"/>
      <c r="L97" s="268">
        <f>SUM(L98:L99)</f>
        <v>0</v>
      </c>
      <c r="N97" s="237"/>
    </row>
    <row r="98" spans="2:14" s="59" customFormat="1">
      <c r="B98" s="265"/>
      <c r="C98" s="265"/>
      <c r="D98" s="263"/>
      <c r="E98" s="248" t="s">
        <v>189</v>
      </c>
      <c r="F98" s="266"/>
      <c r="G98" s="541"/>
      <c r="H98" s="21"/>
      <c r="I98" s="21"/>
      <c r="J98" s="212"/>
      <c r="K98" s="245">
        <v>0.15</v>
      </c>
      <c r="L98" s="268">
        <f>SUM(H98:I98)*K98</f>
        <v>0</v>
      </c>
      <c r="N98" s="237"/>
    </row>
    <row r="99" spans="2:14" s="59" customFormat="1">
      <c r="B99" s="265"/>
      <c r="C99" s="265"/>
      <c r="D99" s="263">
        <v>10.7</v>
      </c>
      <c r="E99" s="251" t="s">
        <v>16</v>
      </c>
      <c r="F99" s="266"/>
      <c r="G99" s="541"/>
      <c r="H99" s="19"/>
      <c r="I99" s="19"/>
      <c r="J99" s="212" t="str">
        <f t="shared" si="6"/>
        <v/>
      </c>
      <c r="K99" s="502">
        <v>0.25</v>
      </c>
      <c r="L99" s="268">
        <f t="shared" si="2"/>
        <v>0</v>
      </c>
      <c r="N99" s="237"/>
    </row>
    <row r="100" spans="2:14" s="59" customFormat="1">
      <c r="B100" s="277"/>
      <c r="C100" s="277" t="s">
        <v>80</v>
      </c>
      <c r="D100" s="277">
        <v>11</v>
      </c>
      <c r="E100" s="278" t="s">
        <v>389</v>
      </c>
      <c r="F100" s="279"/>
      <c r="G100" s="546"/>
      <c r="H100" s="547">
        <f>SUM(H101,H104,H123,H130,H139:H140)</f>
        <v>0</v>
      </c>
      <c r="I100" s="547">
        <f>SUM(I101,I104,I123,I130,I139:I140)</f>
        <v>0</v>
      </c>
      <c r="K100" s="280"/>
      <c r="L100" s="281">
        <f>SUM(L101,L104,L123,L130,L139:L140)</f>
        <v>0</v>
      </c>
      <c r="N100" s="237"/>
    </row>
    <row r="101" spans="2:14" s="59" customFormat="1">
      <c r="B101" s="282" t="s">
        <v>107</v>
      </c>
      <c r="C101" s="282"/>
      <c r="D101" s="282">
        <v>11.1</v>
      </c>
      <c r="E101" s="283" t="s">
        <v>235</v>
      </c>
      <c r="F101" s="273"/>
      <c r="G101" s="541"/>
      <c r="H101" s="548">
        <f>SUM(H102:H103)</f>
        <v>0</v>
      </c>
      <c r="I101" s="548">
        <f>SUM(I102:I103)</f>
        <v>0</v>
      </c>
      <c r="K101" s="247"/>
      <c r="L101" s="284">
        <f>SUM(L102:L103)</f>
        <v>0</v>
      </c>
      <c r="N101" s="237"/>
    </row>
    <row r="102" spans="2:14">
      <c r="B102" s="285"/>
      <c r="C102" s="285"/>
      <c r="D102" s="285" t="s">
        <v>174</v>
      </c>
      <c r="E102" s="248" t="s">
        <v>160</v>
      </c>
      <c r="F102" s="286"/>
      <c r="G102" s="541"/>
      <c r="H102" s="18"/>
      <c r="I102" s="18"/>
      <c r="J102"/>
      <c r="K102" s="245">
        <v>0</v>
      </c>
      <c r="L102" s="246">
        <f t="shared" ref="L102:L103" si="7">SUM(H102:I102)*K102</f>
        <v>0</v>
      </c>
      <c r="N102" s="237"/>
    </row>
    <row r="103" spans="2:14">
      <c r="B103" s="285"/>
      <c r="C103" s="285"/>
      <c r="D103" s="285" t="s">
        <v>175</v>
      </c>
      <c r="E103" s="248" t="s">
        <v>161</v>
      </c>
      <c r="F103" s="286"/>
      <c r="G103" s="541"/>
      <c r="H103" s="18"/>
      <c r="I103" s="18"/>
      <c r="J103"/>
      <c r="K103" s="245">
        <v>0</v>
      </c>
      <c r="L103" s="246">
        <f t="shared" si="7"/>
        <v>0</v>
      </c>
      <c r="N103" s="237"/>
    </row>
    <row r="104" spans="2:14" s="59" customFormat="1">
      <c r="B104" s="282" t="s">
        <v>107</v>
      </c>
      <c r="C104" s="282"/>
      <c r="D104" s="282">
        <v>11.2</v>
      </c>
      <c r="E104" s="283" t="s">
        <v>236</v>
      </c>
      <c r="F104" s="274"/>
      <c r="G104" s="541"/>
      <c r="H104" s="549">
        <f>SUM(H105,H114)</f>
        <v>0</v>
      </c>
      <c r="I104" s="549">
        <f>SUM(I105,I114)</f>
        <v>0</v>
      </c>
      <c r="K104" s="287"/>
      <c r="L104" s="288">
        <f>SUM(L105,L114)</f>
        <v>0</v>
      </c>
      <c r="N104" s="237"/>
    </row>
    <row r="105" spans="2:14" s="59" customFormat="1">
      <c r="B105" s="285"/>
      <c r="C105" s="285"/>
      <c r="D105" s="282" t="s">
        <v>176</v>
      </c>
      <c r="E105" s="289" t="s">
        <v>162</v>
      </c>
      <c r="F105" s="274"/>
      <c r="G105" s="541"/>
      <c r="H105" s="549">
        <f>SUM(H106:H111)</f>
        <v>0</v>
      </c>
      <c r="I105" s="549">
        <f>SUM(I106:I111)</f>
        <v>0</v>
      </c>
      <c r="K105" s="287"/>
      <c r="L105" s="288">
        <f>SUM(L106:L111)</f>
        <v>0</v>
      </c>
      <c r="N105" s="237"/>
    </row>
    <row r="106" spans="2:14">
      <c r="B106" s="285"/>
      <c r="C106" s="285"/>
      <c r="D106" s="285" t="s">
        <v>197</v>
      </c>
      <c r="E106" s="290" t="s">
        <v>326</v>
      </c>
      <c r="F106" s="286"/>
      <c r="G106" s="541"/>
      <c r="H106" s="18"/>
      <c r="I106" s="18"/>
      <c r="J106"/>
      <c r="K106" s="245">
        <v>1.4999999999999999E-2</v>
      </c>
      <c r="L106" s="246">
        <f t="shared" ref="L106:L110" si="8">SUM(H106:I106)*K106</f>
        <v>0</v>
      </c>
      <c r="N106" s="237"/>
    </row>
    <row r="107" spans="2:14">
      <c r="B107" s="285"/>
      <c r="C107" s="285"/>
      <c r="D107" s="285" t="s">
        <v>198</v>
      </c>
      <c r="E107" s="290" t="s">
        <v>347</v>
      </c>
      <c r="F107" s="286"/>
      <c r="G107" s="541"/>
      <c r="H107" s="18"/>
      <c r="I107" s="18"/>
      <c r="J107"/>
      <c r="K107" s="245">
        <v>0.04</v>
      </c>
      <c r="L107" s="246">
        <f t="shared" si="8"/>
        <v>0</v>
      </c>
      <c r="N107" s="237"/>
    </row>
    <row r="108" spans="2:14">
      <c r="B108" s="285"/>
      <c r="C108" s="285"/>
      <c r="D108" s="285" t="s">
        <v>199</v>
      </c>
      <c r="E108" s="290" t="s">
        <v>328</v>
      </c>
      <c r="F108" s="286"/>
      <c r="G108" s="541"/>
      <c r="H108" s="18"/>
      <c r="I108" s="18"/>
      <c r="J108"/>
      <c r="K108" s="245">
        <v>0.06</v>
      </c>
      <c r="L108" s="246">
        <f t="shared" si="8"/>
        <v>0</v>
      </c>
      <c r="N108" s="237"/>
    </row>
    <row r="109" spans="2:14">
      <c r="B109" s="285"/>
      <c r="C109" s="285"/>
      <c r="D109" s="285" t="s">
        <v>200</v>
      </c>
      <c r="E109" s="290" t="s">
        <v>329</v>
      </c>
      <c r="F109" s="286"/>
      <c r="G109" s="541"/>
      <c r="H109" s="18"/>
      <c r="I109" s="18"/>
      <c r="J109"/>
      <c r="K109" s="245">
        <v>0.12</v>
      </c>
      <c r="L109" s="246">
        <f t="shared" si="8"/>
        <v>0</v>
      </c>
      <c r="N109" s="237"/>
    </row>
    <row r="110" spans="2:14">
      <c r="B110" s="285"/>
      <c r="C110" s="285"/>
      <c r="D110" s="285" t="s">
        <v>201</v>
      </c>
      <c r="E110" s="290" t="s">
        <v>348</v>
      </c>
      <c r="F110" s="286"/>
      <c r="G110" s="541"/>
      <c r="H110" s="18"/>
      <c r="I110" s="18"/>
      <c r="J110"/>
      <c r="K110" s="245">
        <v>0.25</v>
      </c>
      <c r="L110" s="246">
        <f t="shared" si="8"/>
        <v>0</v>
      </c>
      <c r="N110" s="237"/>
    </row>
    <row r="111" spans="2:14">
      <c r="B111" s="285"/>
      <c r="C111" s="285"/>
      <c r="D111" s="285" t="s">
        <v>207</v>
      </c>
      <c r="E111" s="290" t="s">
        <v>4</v>
      </c>
      <c r="F111" s="286"/>
      <c r="G111" s="541"/>
      <c r="H111" s="548">
        <f>SUM(H112:H113)</f>
        <v>0</v>
      </c>
      <c r="I111" s="548">
        <f>SUM(I112:I113)</f>
        <v>0</v>
      </c>
      <c r="J111"/>
      <c r="K111" s="247"/>
      <c r="L111" s="246">
        <f>SUM(L112:L113)</f>
        <v>0</v>
      </c>
      <c r="N111" s="237"/>
    </row>
    <row r="112" spans="2:14">
      <c r="B112" s="285"/>
      <c r="C112" s="285"/>
      <c r="D112" s="285" t="s">
        <v>261</v>
      </c>
      <c r="E112" s="291" t="s">
        <v>290</v>
      </c>
      <c r="F112" s="286"/>
      <c r="G112" s="541"/>
      <c r="H112" s="18"/>
      <c r="I112" s="18"/>
      <c r="J112"/>
      <c r="K112" s="245">
        <v>0.15</v>
      </c>
      <c r="L112" s="246">
        <f t="shared" ref="L112:L113" si="9">SUM(H112:I112)*K112</f>
        <v>0</v>
      </c>
      <c r="N112" s="237"/>
    </row>
    <row r="113" spans="2:14">
      <c r="B113" s="285"/>
      <c r="C113" s="285"/>
      <c r="D113" s="285" t="s">
        <v>262</v>
      </c>
      <c r="E113" s="291" t="s">
        <v>16</v>
      </c>
      <c r="F113" s="286"/>
      <c r="G113" s="541"/>
      <c r="H113" s="18"/>
      <c r="I113" s="18"/>
      <c r="J113"/>
      <c r="K113" s="502">
        <v>0.25</v>
      </c>
      <c r="L113" s="246">
        <f t="shared" si="9"/>
        <v>0</v>
      </c>
      <c r="N113" s="237"/>
    </row>
    <row r="114" spans="2:14" s="59" customFormat="1">
      <c r="B114" s="285"/>
      <c r="C114" s="285"/>
      <c r="D114" s="282" t="s">
        <v>177</v>
      </c>
      <c r="E114" s="292" t="s">
        <v>163</v>
      </c>
      <c r="F114" s="274"/>
      <c r="G114" s="541"/>
      <c r="H114" s="549">
        <f>SUM(H115:H120)</f>
        <v>0</v>
      </c>
      <c r="I114" s="549">
        <f>SUM(I115:I120)</f>
        <v>0</v>
      </c>
      <c r="K114" s="287"/>
      <c r="L114" s="288">
        <f>SUM(L115:L120)</f>
        <v>0</v>
      </c>
      <c r="N114" s="237"/>
    </row>
    <row r="115" spans="2:14">
      <c r="B115" s="285"/>
      <c r="C115" s="285"/>
      <c r="D115" s="285" t="s">
        <v>202</v>
      </c>
      <c r="E115" s="290" t="s">
        <v>326</v>
      </c>
      <c r="F115" s="293"/>
      <c r="G115" s="541"/>
      <c r="H115" s="18"/>
      <c r="I115" s="18"/>
      <c r="J115"/>
      <c r="K115" s="245">
        <v>1.4999999999999999E-2</v>
      </c>
      <c r="L115" s="246">
        <f t="shared" ref="L115:L119" si="10">SUM(H115:I115)*K115</f>
        <v>0</v>
      </c>
      <c r="N115" s="237"/>
    </row>
    <row r="116" spans="2:14">
      <c r="B116" s="285"/>
      <c r="C116" s="285"/>
      <c r="D116" s="285" t="s">
        <v>203</v>
      </c>
      <c r="E116" s="290" t="s">
        <v>347</v>
      </c>
      <c r="F116" s="293"/>
      <c r="G116" s="541"/>
      <c r="H116" s="18"/>
      <c r="I116" s="18"/>
      <c r="J116"/>
      <c r="K116" s="245">
        <v>0.04</v>
      </c>
      <c r="L116" s="246">
        <f t="shared" si="10"/>
        <v>0</v>
      </c>
      <c r="N116" s="237"/>
    </row>
    <row r="117" spans="2:14">
      <c r="B117" s="285"/>
      <c r="C117" s="285"/>
      <c r="D117" s="285" t="s">
        <v>204</v>
      </c>
      <c r="E117" s="290" t="s">
        <v>328</v>
      </c>
      <c r="F117" s="293"/>
      <c r="G117" s="541"/>
      <c r="H117" s="18"/>
      <c r="I117" s="18"/>
      <c r="J117"/>
      <c r="K117" s="245">
        <v>0.06</v>
      </c>
      <c r="L117" s="246">
        <f t="shared" si="10"/>
        <v>0</v>
      </c>
      <c r="N117" s="237"/>
    </row>
    <row r="118" spans="2:14">
      <c r="B118" s="285"/>
      <c r="C118" s="285"/>
      <c r="D118" s="285" t="s">
        <v>205</v>
      </c>
      <c r="E118" s="290" t="s">
        <v>329</v>
      </c>
      <c r="F118" s="293"/>
      <c r="G118" s="541"/>
      <c r="H118" s="18"/>
      <c r="I118" s="18"/>
      <c r="J118"/>
      <c r="K118" s="245">
        <v>0.12</v>
      </c>
      <c r="L118" s="246">
        <f t="shared" si="10"/>
        <v>0</v>
      </c>
      <c r="N118" s="237"/>
    </row>
    <row r="119" spans="2:14">
      <c r="B119" s="285"/>
      <c r="C119" s="285"/>
      <c r="D119" s="285" t="s">
        <v>206</v>
      </c>
      <c r="E119" s="290" t="s">
        <v>348</v>
      </c>
      <c r="F119" s="293"/>
      <c r="G119" s="541"/>
      <c r="H119" s="18"/>
      <c r="I119" s="18"/>
      <c r="J119"/>
      <c r="K119" s="245">
        <v>0.25</v>
      </c>
      <c r="L119" s="246">
        <f t="shared" si="10"/>
        <v>0</v>
      </c>
      <c r="N119" s="237"/>
    </row>
    <row r="120" spans="2:14">
      <c r="B120" s="285"/>
      <c r="C120" s="285"/>
      <c r="D120" s="285" t="s">
        <v>295</v>
      </c>
      <c r="E120" s="290" t="s">
        <v>4</v>
      </c>
      <c r="F120"/>
      <c r="G120" s="541"/>
      <c r="H120" s="542">
        <f>SUM(H121:H122)</f>
        <v>0</v>
      </c>
      <c r="I120" s="542">
        <f>SUM(I121:I122)</f>
        <v>0</v>
      </c>
      <c r="J120"/>
      <c r="K120" s="247"/>
      <c r="L120" s="246">
        <f>SUM(L121:L122)</f>
        <v>0</v>
      </c>
      <c r="N120" s="237"/>
    </row>
    <row r="121" spans="2:14">
      <c r="B121" s="285"/>
      <c r="C121" s="285"/>
      <c r="D121" s="285" t="s">
        <v>296</v>
      </c>
      <c r="E121" s="291" t="s">
        <v>290</v>
      </c>
      <c r="F121" s="293"/>
      <c r="G121" s="541"/>
      <c r="H121" s="18"/>
      <c r="I121" s="18"/>
      <c r="J121"/>
      <c r="K121" s="245">
        <v>0.15</v>
      </c>
      <c r="L121" s="246">
        <f t="shared" ref="L121:L122" si="11">SUM(H121:I121)*K121</f>
        <v>0</v>
      </c>
      <c r="N121" s="237"/>
    </row>
    <row r="122" spans="2:14">
      <c r="B122" s="285"/>
      <c r="C122" s="285"/>
      <c r="D122" s="285" t="s">
        <v>297</v>
      </c>
      <c r="E122" s="291" t="s">
        <v>16</v>
      </c>
      <c r="F122" s="293"/>
      <c r="G122" s="541"/>
      <c r="H122" s="18"/>
      <c r="I122" s="18"/>
      <c r="J122"/>
      <c r="K122" s="502">
        <v>0.25</v>
      </c>
      <c r="L122" s="246">
        <f t="shared" si="11"/>
        <v>0</v>
      </c>
      <c r="N122" s="237"/>
    </row>
    <row r="123" spans="2:14" s="11" customFormat="1">
      <c r="B123" s="294" t="s">
        <v>102</v>
      </c>
      <c r="C123" s="294"/>
      <c r="D123" s="294">
        <v>11.3</v>
      </c>
      <c r="E123" s="283" t="s">
        <v>237</v>
      </c>
      <c r="F123" s="295"/>
      <c r="G123" s="541"/>
      <c r="H123" s="549">
        <f>SUM(H124,H127)</f>
        <v>0</v>
      </c>
      <c r="I123" s="549">
        <f>SUM(I124,I127)</f>
        <v>0</v>
      </c>
      <c r="K123" s="287"/>
      <c r="L123" s="246">
        <f>SUM(L124,L127)</f>
        <v>0</v>
      </c>
      <c r="N123" s="237"/>
    </row>
    <row r="124" spans="2:14" s="11" customFormat="1">
      <c r="B124" s="296"/>
      <c r="C124" s="296"/>
      <c r="D124" s="285" t="s">
        <v>178</v>
      </c>
      <c r="E124" s="289" t="s">
        <v>164</v>
      </c>
      <c r="F124" s="295"/>
      <c r="G124" s="541"/>
      <c r="H124" s="542">
        <f>SUM(H125:H126)</f>
        <v>0</v>
      </c>
      <c r="I124" s="542">
        <f>SUM(I125:I126)</f>
        <v>0</v>
      </c>
      <c r="K124" s="287"/>
      <c r="L124" s="246">
        <f>SUM(L125:L126)</f>
        <v>0</v>
      </c>
      <c r="N124" s="237"/>
    </row>
    <row r="125" spans="2:14" s="11" customFormat="1">
      <c r="B125" s="296"/>
      <c r="C125" s="296"/>
      <c r="D125" s="285" t="s">
        <v>306</v>
      </c>
      <c r="E125" s="290" t="s">
        <v>238</v>
      </c>
      <c r="F125" s="295"/>
      <c r="G125" s="541"/>
      <c r="H125" s="18"/>
      <c r="I125" s="18"/>
      <c r="K125" s="245">
        <v>0.45</v>
      </c>
      <c r="L125" s="246">
        <f t="shared" ref="L125:L126" si="12">SUM(H125:I125)*K125</f>
        <v>0</v>
      </c>
      <c r="N125" s="237"/>
    </row>
    <row r="126" spans="2:14" s="11" customFormat="1">
      <c r="B126" s="296"/>
      <c r="C126" s="296"/>
      <c r="D126" s="285" t="s">
        <v>307</v>
      </c>
      <c r="E126" s="290" t="s">
        <v>239</v>
      </c>
      <c r="F126" s="295"/>
      <c r="G126" s="541"/>
      <c r="H126" s="18"/>
      <c r="I126" s="18"/>
      <c r="K126" s="245">
        <v>0.6</v>
      </c>
      <c r="L126" s="246">
        <f t="shared" si="12"/>
        <v>0</v>
      </c>
      <c r="N126" s="237"/>
    </row>
    <row r="127" spans="2:14" s="11" customFormat="1">
      <c r="B127" s="296"/>
      <c r="C127" s="296"/>
      <c r="D127" s="285" t="s">
        <v>179</v>
      </c>
      <c r="E127" s="289" t="s">
        <v>165</v>
      </c>
      <c r="F127" s="295"/>
      <c r="G127" s="541"/>
      <c r="H127" s="542">
        <f>SUM(H128:H129)</f>
        <v>0</v>
      </c>
      <c r="I127" s="542">
        <f>SUM(I128:I129)</f>
        <v>0</v>
      </c>
      <c r="K127" s="287"/>
      <c r="L127" s="246">
        <f>SUM(L128:L129)</f>
        <v>0</v>
      </c>
      <c r="N127" s="237"/>
    </row>
    <row r="128" spans="2:14" s="11" customFormat="1">
      <c r="B128" s="296"/>
      <c r="C128" s="296"/>
      <c r="D128" s="285" t="s">
        <v>263</v>
      </c>
      <c r="E128" s="290" t="s">
        <v>238</v>
      </c>
      <c r="F128" s="286"/>
      <c r="G128" s="541"/>
      <c r="H128" s="18"/>
      <c r="I128" s="18"/>
      <c r="K128" s="245">
        <v>0.45</v>
      </c>
      <c r="L128" s="246">
        <f t="shared" ref="L128:L129" si="13">SUM(H128:I128)*K128</f>
        <v>0</v>
      </c>
      <c r="N128" s="237"/>
    </row>
    <row r="129" spans="2:14" s="11" customFormat="1">
      <c r="B129" s="296"/>
      <c r="C129" s="296"/>
      <c r="D129" s="285" t="s">
        <v>264</v>
      </c>
      <c r="E129" s="290" t="s">
        <v>239</v>
      </c>
      <c r="F129" s="286"/>
      <c r="G129" s="541"/>
      <c r="H129" s="18"/>
      <c r="I129" s="18"/>
      <c r="K129" s="245">
        <v>0.6</v>
      </c>
      <c r="L129" s="246">
        <f t="shared" si="13"/>
        <v>0</v>
      </c>
      <c r="N129" s="237"/>
    </row>
    <row r="130" spans="2:14" s="59" customFormat="1">
      <c r="B130" s="297" t="s">
        <v>107</v>
      </c>
      <c r="C130" s="297"/>
      <c r="D130" s="297">
        <v>11.4</v>
      </c>
      <c r="E130" s="298" t="s">
        <v>166</v>
      </c>
      <c r="F130" s="276"/>
      <c r="G130" s="541"/>
      <c r="H130" s="549">
        <f>SUM(H131,H134,H135,H138)</f>
        <v>0</v>
      </c>
      <c r="I130" s="549">
        <f>SUM(I131,I134,I135,I138)</f>
        <v>0</v>
      </c>
      <c r="K130" s="287"/>
      <c r="L130" s="246">
        <f>SUM(L131,L134,L135,L138)</f>
        <v>0</v>
      </c>
      <c r="N130" s="237"/>
    </row>
    <row r="131" spans="2:14" s="59" customFormat="1">
      <c r="B131" s="297"/>
      <c r="C131" s="297"/>
      <c r="D131" s="299" t="s">
        <v>335</v>
      </c>
      <c r="E131" s="300" t="s">
        <v>18</v>
      </c>
      <c r="F131" s="276"/>
      <c r="G131" s="541"/>
      <c r="H131" s="550">
        <f>SUM(H132:H133)</f>
        <v>0</v>
      </c>
      <c r="I131" s="550">
        <f>SUM(I132:I133)</f>
        <v>0</v>
      </c>
      <c r="K131" s="287"/>
      <c r="L131" s="246">
        <f>SUM(L132:L133)</f>
        <v>0</v>
      </c>
      <c r="N131" s="237"/>
    </row>
    <row r="132" spans="2:14" s="59" customFormat="1">
      <c r="B132" s="297"/>
      <c r="C132" s="297"/>
      <c r="D132" s="299" t="s">
        <v>336</v>
      </c>
      <c r="E132" s="248" t="s">
        <v>160</v>
      </c>
      <c r="F132" s="276"/>
      <c r="G132" s="541"/>
      <c r="H132" s="18"/>
      <c r="I132" s="18"/>
      <c r="K132" s="245">
        <v>0</v>
      </c>
      <c r="L132" s="246">
        <f t="shared" ref="L132:L134" si="14">SUM(H132:I132)*K132</f>
        <v>0</v>
      </c>
      <c r="N132" s="237"/>
    </row>
    <row r="133" spans="2:14" s="59" customFormat="1">
      <c r="B133" s="297"/>
      <c r="C133" s="297"/>
      <c r="D133" s="299" t="s">
        <v>337</v>
      </c>
      <c r="E133" s="248" t="s">
        <v>161</v>
      </c>
      <c r="F133" s="276"/>
      <c r="G133" s="541"/>
      <c r="H133" s="18"/>
      <c r="I133" s="18"/>
      <c r="K133" s="245">
        <v>0</v>
      </c>
      <c r="L133" s="246">
        <f t="shared" si="14"/>
        <v>0</v>
      </c>
      <c r="N133" s="237"/>
    </row>
    <row r="134" spans="2:14" s="59" customFormat="1">
      <c r="B134" s="297"/>
      <c r="C134" s="297"/>
      <c r="D134" s="299" t="s">
        <v>338</v>
      </c>
      <c r="E134" s="300" t="s">
        <v>339</v>
      </c>
      <c r="F134" s="276"/>
      <c r="G134" s="541"/>
      <c r="H134" s="18"/>
      <c r="I134" s="18"/>
      <c r="K134" s="245">
        <v>0.06</v>
      </c>
      <c r="L134" s="246">
        <f t="shared" si="14"/>
        <v>0</v>
      </c>
      <c r="N134" s="237"/>
    </row>
    <row r="135" spans="2:14" s="59" customFormat="1">
      <c r="B135" s="297"/>
      <c r="C135" s="297"/>
      <c r="D135" s="299" t="s">
        <v>340</v>
      </c>
      <c r="E135" s="300" t="s">
        <v>341</v>
      </c>
      <c r="F135" s="276"/>
      <c r="G135" s="541"/>
      <c r="H135" s="550">
        <f>SUM(H136:H137)</f>
        <v>0</v>
      </c>
      <c r="I135" s="550">
        <f>SUM(I136:I137)</f>
        <v>0</v>
      </c>
      <c r="K135" s="287"/>
      <c r="L135" s="246">
        <f>SUM(L136:L137)</f>
        <v>0</v>
      </c>
      <c r="N135" s="237"/>
    </row>
    <row r="136" spans="2:14" s="59" customFormat="1">
      <c r="B136" s="297"/>
      <c r="C136" s="297"/>
      <c r="D136" s="299" t="s">
        <v>342</v>
      </c>
      <c r="E136" s="248" t="s">
        <v>343</v>
      </c>
      <c r="F136" s="276"/>
      <c r="G136" s="541"/>
      <c r="H136" s="18"/>
      <c r="I136" s="18"/>
      <c r="K136" s="245">
        <v>0.06</v>
      </c>
      <c r="L136" s="246">
        <f t="shared" ref="L136:L140" si="15">SUM(H136:I136)*K136</f>
        <v>0</v>
      </c>
      <c r="N136" s="237"/>
    </row>
    <row r="137" spans="2:14" s="59" customFormat="1">
      <c r="B137" s="297"/>
      <c r="C137" s="297"/>
      <c r="D137" s="299" t="s">
        <v>344</v>
      </c>
      <c r="E137" s="248" t="s">
        <v>345</v>
      </c>
      <c r="F137" s="276"/>
      <c r="G137" s="541"/>
      <c r="H137" s="18"/>
      <c r="I137" s="18"/>
      <c r="K137" s="245">
        <v>0.12</v>
      </c>
      <c r="L137" s="246">
        <f t="shared" si="15"/>
        <v>0</v>
      </c>
      <c r="N137" s="237"/>
    </row>
    <row r="138" spans="2:14" s="59" customFormat="1">
      <c r="B138" s="297"/>
      <c r="C138" s="297"/>
      <c r="D138" s="299" t="s">
        <v>346</v>
      </c>
      <c r="E138" s="300" t="s">
        <v>445</v>
      </c>
      <c r="F138" s="276"/>
      <c r="G138" s="541"/>
      <c r="H138" s="18"/>
      <c r="I138" s="18"/>
      <c r="K138" s="245">
        <v>0.45</v>
      </c>
      <c r="L138" s="246">
        <f t="shared" si="15"/>
        <v>0</v>
      </c>
      <c r="N138" s="237"/>
    </row>
    <row r="139" spans="2:14">
      <c r="B139" s="297" t="s">
        <v>107</v>
      </c>
      <c r="C139" s="285"/>
      <c r="D139" s="282">
        <v>11.5</v>
      </c>
      <c r="E139" s="283" t="s">
        <v>240</v>
      </c>
      <c r="F139" s="286"/>
      <c r="G139" s="541"/>
      <c r="H139" s="18"/>
      <c r="I139" s="18"/>
      <c r="J139"/>
      <c r="K139" s="245">
        <v>0.25</v>
      </c>
      <c r="L139" s="246">
        <f t="shared" si="15"/>
        <v>0</v>
      </c>
      <c r="N139" s="237"/>
    </row>
    <row r="140" spans="2:14">
      <c r="B140" s="297" t="s">
        <v>107</v>
      </c>
      <c r="C140" s="282"/>
      <c r="D140" s="282">
        <v>11.6</v>
      </c>
      <c r="E140" s="283" t="s">
        <v>388</v>
      </c>
      <c r="F140" s="286"/>
      <c r="G140" s="551"/>
      <c r="H140" s="18"/>
      <c r="I140" s="18"/>
      <c r="J140"/>
      <c r="K140" s="245">
        <v>0.35</v>
      </c>
      <c r="L140" s="246">
        <f t="shared" si="15"/>
        <v>0</v>
      </c>
      <c r="N140" s="237"/>
    </row>
    <row r="141" spans="2:14" s="59" customFormat="1">
      <c r="B141" s="258"/>
      <c r="C141" s="258" t="s">
        <v>80</v>
      </c>
      <c r="D141" s="258">
        <v>12</v>
      </c>
      <c r="E141" s="259" t="s">
        <v>448</v>
      </c>
      <c r="F141" s="260"/>
      <c r="G141" s="546"/>
      <c r="H141" s="545">
        <f>SUM(H177,H142,H151,H161,H169,H160,H186,H195)</f>
        <v>0</v>
      </c>
      <c r="I141" s="545">
        <f>SUM(I177,I142,I151,I161,I169,I160,I186,I195)</f>
        <v>0</v>
      </c>
      <c r="K141" s="301"/>
      <c r="L141" s="269">
        <f>SUM(L177,L142,L151,L161,L169,L160,L186,L195)</f>
        <v>0</v>
      </c>
      <c r="N141" s="237"/>
    </row>
    <row r="142" spans="2:14" s="59" customFormat="1">
      <c r="B142" s="262" t="s">
        <v>107</v>
      </c>
      <c r="C142" s="262"/>
      <c r="D142" s="262">
        <v>12.1</v>
      </c>
      <c r="E142" s="283" t="s">
        <v>241</v>
      </c>
      <c r="F142" s="264"/>
      <c r="G142" s="541"/>
      <c r="H142" s="549">
        <f>SUM(H143:H148)</f>
        <v>0</v>
      </c>
      <c r="I142" s="549">
        <f>SUM(I143:I148)</f>
        <v>0</v>
      </c>
      <c r="K142" s="287"/>
      <c r="L142" s="284">
        <f>SUM(L143:L147,L148)</f>
        <v>0</v>
      </c>
      <c r="N142" s="237"/>
    </row>
    <row r="143" spans="2:14" s="59" customFormat="1">
      <c r="B143" s="263"/>
      <c r="C143" s="263"/>
      <c r="D143" s="263" t="s">
        <v>180</v>
      </c>
      <c r="E143" s="256" t="s">
        <v>326</v>
      </c>
      <c r="F143" s="264"/>
      <c r="G143" s="541"/>
      <c r="H143" s="18"/>
      <c r="I143" s="18"/>
      <c r="K143" s="245">
        <v>1.4999999999999999E-2</v>
      </c>
      <c r="L143" s="246">
        <f t="shared" ref="L143:L147" si="16">SUM(H143:I143)*K143</f>
        <v>0</v>
      </c>
      <c r="N143" s="237"/>
    </row>
    <row r="144" spans="2:14">
      <c r="B144" s="263"/>
      <c r="C144" s="263"/>
      <c r="D144" s="263" t="s">
        <v>181</v>
      </c>
      <c r="E144" s="256" t="s">
        <v>347</v>
      </c>
      <c r="F144" s="286"/>
      <c r="G144" s="541"/>
      <c r="H144" s="18"/>
      <c r="I144" s="18"/>
      <c r="J144"/>
      <c r="K144" s="245">
        <v>0.04</v>
      </c>
      <c r="L144" s="246">
        <f t="shared" si="16"/>
        <v>0</v>
      </c>
      <c r="N144" s="237"/>
    </row>
    <row r="145" spans="2:14">
      <c r="B145" s="263"/>
      <c r="C145" s="263"/>
      <c r="D145" s="263" t="s">
        <v>390</v>
      </c>
      <c r="E145" s="256" t="s">
        <v>328</v>
      </c>
      <c r="F145" s="286"/>
      <c r="G145" s="541"/>
      <c r="H145" s="18"/>
      <c r="I145" s="18"/>
      <c r="J145"/>
      <c r="K145" s="245">
        <v>0.06</v>
      </c>
      <c r="L145" s="246">
        <f t="shared" si="16"/>
        <v>0</v>
      </c>
      <c r="N145" s="237"/>
    </row>
    <row r="146" spans="2:14">
      <c r="B146" s="263"/>
      <c r="C146" s="263"/>
      <c r="D146" s="263" t="s">
        <v>391</v>
      </c>
      <c r="E146" s="256" t="s">
        <v>329</v>
      </c>
      <c r="F146" s="286"/>
      <c r="G146" s="541"/>
      <c r="H146" s="18"/>
      <c r="I146" s="18"/>
      <c r="J146"/>
      <c r="K146" s="245">
        <v>0.12</v>
      </c>
      <c r="L146" s="246">
        <f t="shared" si="16"/>
        <v>0</v>
      </c>
      <c r="N146" s="237"/>
    </row>
    <row r="147" spans="2:14">
      <c r="B147" s="263"/>
      <c r="C147" s="263"/>
      <c r="D147" s="263" t="s">
        <v>392</v>
      </c>
      <c r="E147" s="256" t="s">
        <v>348</v>
      </c>
      <c r="F147" s="286"/>
      <c r="G147" s="541"/>
      <c r="H147" s="18"/>
      <c r="I147" s="18"/>
      <c r="J147"/>
      <c r="K147" s="245">
        <v>0.25</v>
      </c>
      <c r="L147" s="246">
        <f t="shared" si="16"/>
        <v>0</v>
      </c>
      <c r="N147" s="237"/>
    </row>
    <row r="148" spans="2:14">
      <c r="B148" s="263"/>
      <c r="C148" s="263"/>
      <c r="D148" s="263" t="s">
        <v>393</v>
      </c>
      <c r="E148" s="256" t="s">
        <v>4</v>
      </c>
      <c r="F148" s="286"/>
      <c r="G148" s="541"/>
      <c r="H148" s="549">
        <f>SUM(H149:H150)</f>
        <v>0</v>
      </c>
      <c r="I148" s="549">
        <f>SUM(I149:I150)</f>
        <v>0</v>
      </c>
      <c r="J148"/>
      <c r="K148" s="247"/>
      <c r="L148" s="246">
        <f>SUM(L149:L150)</f>
        <v>0</v>
      </c>
      <c r="N148" s="237"/>
    </row>
    <row r="149" spans="2:14">
      <c r="B149" s="263"/>
      <c r="C149" s="263"/>
      <c r="D149" s="263" t="s">
        <v>394</v>
      </c>
      <c r="E149" s="302" t="s">
        <v>290</v>
      </c>
      <c r="F149" s="286"/>
      <c r="G149" s="541"/>
      <c r="H149" s="18"/>
      <c r="I149" s="18"/>
      <c r="J149"/>
      <c r="K149" s="245">
        <v>0.15</v>
      </c>
      <c r="L149" s="246">
        <f t="shared" ref="L149:L150" si="17">SUM(H149:I149)*K149</f>
        <v>0</v>
      </c>
      <c r="N149" s="237"/>
    </row>
    <row r="150" spans="2:14">
      <c r="B150" s="263"/>
      <c r="C150" s="263"/>
      <c r="D150" s="263" t="s">
        <v>395</v>
      </c>
      <c r="E150" s="302" t="s">
        <v>446</v>
      </c>
      <c r="F150" s="286"/>
      <c r="G150" s="541"/>
      <c r="H150" s="18"/>
      <c r="I150" s="18"/>
      <c r="J150"/>
      <c r="K150" s="502">
        <v>0.25</v>
      </c>
      <c r="L150" s="246">
        <f t="shared" si="17"/>
        <v>0</v>
      </c>
      <c r="N150" s="237"/>
    </row>
    <row r="151" spans="2:14" s="11" customFormat="1" ht="14.45" customHeight="1">
      <c r="B151" s="303" t="s">
        <v>107</v>
      </c>
      <c r="C151" s="303"/>
      <c r="D151" s="303">
        <v>12.2</v>
      </c>
      <c r="E151" s="283" t="s">
        <v>242</v>
      </c>
      <c r="F151" s="273"/>
      <c r="G151" s="541"/>
      <c r="H151" s="552">
        <f>SUM(H152:H157)</f>
        <v>0</v>
      </c>
      <c r="I151" s="552">
        <f>SUM(I152:I157)</f>
        <v>0</v>
      </c>
      <c r="K151" s="304"/>
      <c r="L151" s="246">
        <f>SUM(L152:L157)</f>
        <v>0</v>
      </c>
      <c r="N151" s="237"/>
    </row>
    <row r="152" spans="2:14">
      <c r="B152" s="263"/>
      <c r="C152" s="263"/>
      <c r="D152" s="263" t="s">
        <v>182</v>
      </c>
      <c r="E152" s="256" t="s">
        <v>326</v>
      </c>
      <c r="F152" s="286"/>
      <c r="G152" s="541"/>
      <c r="H152" s="18"/>
      <c r="I152" s="18"/>
      <c r="J152"/>
      <c r="K152" s="245">
        <v>1.4999999999999999E-2</v>
      </c>
      <c r="L152" s="246">
        <f t="shared" ref="L152:L156" si="18">SUM(H152:I152)*K152</f>
        <v>0</v>
      </c>
      <c r="N152" s="237"/>
    </row>
    <row r="153" spans="2:14">
      <c r="B153" s="263"/>
      <c r="C153" s="263"/>
      <c r="D153" s="263" t="s">
        <v>183</v>
      </c>
      <c r="E153" s="256" t="s">
        <v>347</v>
      </c>
      <c r="F153" s="286"/>
      <c r="G153" s="541"/>
      <c r="H153" s="18"/>
      <c r="I153" s="18"/>
      <c r="J153"/>
      <c r="K153" s="245">
        <v>0.04</v>
      </c>
      <c r="L153" s="246">
        <f t="shared" si="18"/>
        <v>0</v>
      </c>
      <c r="N153" s="237"/>
    </row>
    <row r="154" spans="2:14">
      <c r="B154" s="263"/>
      <c r="C154" s="263"/>
      <c r="D154" s="263" t="s">
        <v>396</v>
      </c>
      <c r="E154" s="256" t="s">
        <v>328</v>
      </c>
      <c r="F154" s="286"/>
      <c r="G154" s="541"/>
      <c r="H154" s="18"/>
      <c r="I154" s="18"/>
      <c r="J154"/>
      <c r="K154" s="245">
        <v>0.06</v>
      </c>
      <c r="L154" s="246">
        <f t="shared" si="18"/>
        <v>0</v>
      </c>
      <c r="N154" s="237"/>
    </row>
    <row r="155" spans="2:14">
      <c r="B155" s="263"/>
      <c r="C155" s="263"/>
      <c r="D155" s="263" t="s">
        <v>397</v>
      </c>
      <c r="E155" s="256" t="s">
        <v>329</v>
      </c>
      <c r="F155" s="286"/>
      <c r="G155" s="541"/>
      <c r="H155" s="18"/>
      <c r="I155" s="18"/>
      <c r="J155"/>
      <c r="K155" s="245">
        <v>0.12</v>
      </c>
      <c r="L155" s="246">
        <f t="shared" si="18"/>
        <v>0</v>
      </c>
      <c r="N155" s="237"/>
    </row>
    <row r="156" spans="2:14">
      <c r="B156" s="263"/>
      <c r="C156" s="263"/>
      <c r="D156" s="263" t="s">
        <v>398</v>
      </c>
      <c r="E156" s="256" t="s">
        <v>348</v>
      </c>
      <c r="F156" s="286"/>
      <c r="G156" s="541"/>
      <c r="H156" s="18"/>
      <c r="I156" s="18"/>
      <c r="J156"/>
      <c r="K156" s="245">
        <v>0.25</v>
      </c>
      <c r="L156" s="246">
        <f t="shared" si="18"/>
        <v>0</v>
      </c>
      <c r="N156" s="237"/>
    </row>
    <row r="157" spans="2:14">
      <c r="B157" s="263"/>
      <c r="C157" s="263"/>
      <c r="D157" s="263" t="s">
        <v>399</v>
      </c>
      <c r="E157" s="256" t="s">
        <v>4</v>
      </c>
      <c r="F157" s="286"/>
      <c r="G157" s="541"/>
      <c r="H157" s="549">
        <f>SUM(H158:H159)</f>
        <v>0</v>
      </c>
      <c r="I157" s="549">
        <f>SUM(I158:I159)</f>
        <v>0</v>
      </c>
      <c r="J157"/>
      <c r="K157" s="247"/>
      <c r="L157" s="246">
        <f>SUM(L158:L159)</f>
        <v>0</v>
      </c>
      <c r="N157" s="237"/>
    </row>
    <row r="158" spans="2:14">
      <c r="B158" s="263"/>
      <c r="C158" s="263"/>
      <c r="D158" s="263" t="s">
        <v>400</v>
      </c>
      <c r="E158" s="302" t="s">
        <v>290</v>
      </c>
      <c r="F158" s="286"/>
      <c r="G158" s="541"/>
      <c r="H158" s="18"/>
      <c r="I158" s="18"/>
      <c r="J158"/>
      <c r="K158" s="245">
        <v>0.15</v>
      </c>
      <c r="L158" s="246">
        <f t="shared" ref="L158:L160" si="19">SUM(H158:I158)*K158</f>
        <v>0</v>
      </c>
      <c r="N158" s="237"/>
    </row>
    <row r="159" spans="2:14">
      <c r="B159" s="263"/>
      <c r="C159" s="263"/>
      <c r="D159" s="263" t="s">
        <v>401</v>
      </c>
      <c r="E159" s="302" t="s">
        <v>446</v>
      </c>
      <c r="F159" s="286"/>
      <c r="G159" s="541"/>
      <c r="H159" s="18"/>
      <c r="I159" s="18"/>
      <c r="J159"/>
      <c r="K159" s="502">
        <v>0.25</v>
      </c>
      <c r="L159" s="246">
        <f t="shared" si="19"/>
        <v>0</v>
      </c>
      <c r="N159" s="237"/>
    </row>
    <row r="160" spans="2:14">
      <c r="B160" s="262" t="s">
        <v>107</v>
      </c>
      <c r="C160" s="262"/>
      <c r="D160" s="262">
        <v>12.3</v>
      </c>
      <c r="E160" s="283" t="s">
        <v>291</v>
      </c>
      <c r="F160" s="264"/>
      <c r="G160" s="541"/>
      <c r="H160" s="18"/>
      <c r="I160" s="18"/>
      <c r="J160"/>
      <c r="K160" s="245">
        <v>0</v>
      </c>
      <c r="L160" s="246">
        <f t="shared" si="19"/>
        <v>0</v>
      </c>
      <c r="N160" s="237"/>
    </row>
    <row r="161" spans="2:14" s="11" customFormat="1">
      <c r="B161" s="303" t="s">
        <v>107</v>
      </c>
      <c r="C161" s="303"/>
      <c r="D161" s="303">
        <v>12.4</v>
      </c>
      <c r="E161" s="283" t="s">
        <v>292</v>
      </c>
      <c r="F161" s="305"/>
      <c r="G161" s="552">
        <f>SUM(G162:G168)</f>
        <v>0</v>
      </c>
      <c r="H161" s="552">
        <f>SUM(H162:H168)</f>
        <v>0</v>
      </c>
      <c r="I161" s="552">
        <f>SUM(I162:I168)</f>
        <v>0</v>
      </c>
      <c r="K161" s="304"/>
      <c r="L161" s="246">
        <f>SUM(L162:L168)</f>
        <v>0</v>
      </c>
      <c r="N161" s="237"/>
    </row>
    <row r="162" spans="2:14">
      <c r="B162" s="263"/>
      <c r="C162" s="263"/>
      <c r="D162" s="263" t="s">
        <v>402</v>
      </c>
      <c r="E162" s="256" t="s">
        <v>229</v>
      </c>
      <c r="F162" s="286"/>
      <c r="G162" s="32"/>
      <c r="H162" s="18"/>
      <c r="I162" s="18"/>
      <c r="J162" s="212" t="str">
        <f t="shared" ref="J162:J168" si="20">IF(AND(LEFT(E162,4)="For ",SUM(H162:I162)&gt;0,G162=""),"Error: No input in cell "&amp;ADDRESS(ROW(G162),COLUMN(G162),4),"")</f>
        <v/>
      </c>
      <c r="K162" s="527">
        <f>IFERROR(VLOOKUP(G162,'RC%_Receivables'!$J$11:$L$15,3,TRUE),'RC%_Receivables'!$L$11)</f>
        <v>5.1999999999999998E-2</v>
      </c>
      <c r="L162" s="246">
        <f t="shared" ref="L162:L168" si="21">SUM(H162:I162)*K162</f>
        <v>0</v>
      </c>
      <c r="N162" s="237"/>
    </row>
    <row r="163" spans="2:14">
      <c r="B163" s="263"/>
      <c r="C163" s="263"/>
      <c r="D163" s="263" t="s">
        <v>403</v>
      </c>
      <c r="E163" s="256" t="s">
        <v>230</v>
      </c>
      <c r="F163" s="286"/>
      <c r="G163" s="32"/>
      <c r="H163" s="18"/>
      <c r="I163" s="18"/>
      <c r="J163" s="212" t="str">
        <f t="shared" si="20"/>
        <v/>
      </c>
      <c r="K163" s="527">
        <f>IFERROR(VLOOKUP(G163,'RC%_Receivables'!$J$11:$M$15,4,TRUE),'RC%_Receivables'!$M$11)</f>
        <v>0.16700000000000001</v>
      </c>
      <c r="L163" s="246">
        <f t="shared" si="21"/>
        <v>0</v>
      </c>
      <c r="N163" s="237"/>
    </row>
    <row r="164" spans="2:14">
      <c r="B164" s="263"/>
      <c r="C164" s="263"/>
      <c r="D164" s="263" t="s">
        <v>404</v>
      </c>
      <c r="E164" s="256" t="s">
        <v>231</v>
      </c>
      <c r="F164" s="286"/>
      <c r="G164" s="32"/>
      <c r="H164" s="18"/>
      <c r="I164" s="18"/>
      <c r="J164" s="212" t="str">
        <f t="shared" si="20"/>
        <v/>
      </c>
      <c r="K164" s="527">
        <f>IFERROR(VLOOKUP(G164,'RC%_Receivables'!$J$11:$N$15,5,TRUE),'RC%_Receivables'!$N$11)</f>
        <v>0.38200000000000001</v>
      </c>
      <c r="L164" s="246">
        <f t="shared" si="21"/>
        <v>0</v>
      </c>
      <c r="N164" s="237"/>
    </row>
    <row r="165" spans="2:14">
      <c r="B165" s="263"/>
      <c r="C165" s="263"/>
      <c r="D165" s="263" t="s">
        <v>405</v>
      </c>
      <c r="E165" s="256" t="s">
        <v>232</v>
      </c>
      <c r="F165" s="286"/>
      <c r="G165" s="32"/>
      <c r="H165" s="18"/>
      <c r="I165" s="18"/>
      <c r="J165" s="212" t="str">
        <f t="shared" si="20"/>
        <v/>
      </c>
      <c r="K165" s="527">
        <f>IFERROR(VLOOKUP(G165,'RC%_Receivables'!$J$11:$O$15,6,TRUE),'RC%_Receivables'!$O$11)</f>
        <v>0.71199999999999997</v>
      </c>
      <c r="L165" s="246">
        <f t="shared" si="21"/>
        <v>0</v>
      </c>
      <c r="N165" s="237"/>
    </row>
    <row r="166" spans="2:14">
      <c r="B166" s="263"/>
      <c r="C166" s="263"/>
      <c r="D166" s="263" t="s">
        <v>406</v>
      </c>
      <c r="E166" s="256" t="s">
        <v>286</v>
      </c>
      <c r="F166" s="286"/>
      <c r="G166" s="32"/>
      <c r="H166" s="18"/>
      <c r="I166" s="18"/>
      <c r="J166" s="212" t="str">
        <f t="shared" si="20"/>
        <v/>
      </c>
      <c r="K166" s="527">
        <f>IFERROR(VLOOKUP(G166,'RC%_Receivables'!$J$11:$P$15,7,TRUE),'RC%_Receivables'!$P$11)</f>
        <v>1</v>
      </c>
      <c r="L166" s="246">
        <f t="shared" si="21"/>
        <v>0</v>
      </c>
      <c r="N166" s="237"/>
    </row>
    <row r="167" spans="2:14">
      <c r="B167" s="263"/>
      <c r="C167" s="263"/>
      <c r="D167" s="263" t="s">
        <v>407</v>
      </c>
      <c r="E167" s="256" t="s">
        <v>287</v>
      </c>
      <c r="F167" s="286"/>
      <c r="G167" s="32"/>
      <c r="H167" s="33"/>
      <c r="I167" s="33"/>
      <c r="J167" s="212" t="str">
        <f t="shared" si="20"/>
        <v/>
      </c>
      <c r="K167" s="527">
        <f>IFERROR(VLOOKUP(G167,'RC%_Receivables'!$J$11:$Q$15,8,TRUE),'RC%_Receivables'!$Q$11)</f>
        <v>1</v>
      </c>
      <c r="L167" s="246">
        <f t="shared" si="21"/>
        <v>0</v>
      </c>
      <c r="N167" s="237"/>
    </row>
    <row r="168" spans="2:14">
      <c r="B168" s="263"/>
      <c r="C168" s="263"/>
      <c r="D168" s="263" t="s">
        <v>408</v>
      </c>
      <c r="E168" s="256" t="s">
        <v>288</v>
      </c>
      <c r="F168" s="286"/>
      <c r="G168" s="32"/>
      <c r="H168" s="33"/>
      <c r="I168" s="33"/>
      <c r="J168" s="212" t="str">
        <f t="shared" si="20"/>
        <v/>
      </c>
      <c r="K168" s="527">
        <f>IFERROR(VLOOKUP(G168,'RC%_Receivables'!$J$11:$R$15,9,TRUE),'RC%_Receivables'!$R$11)</f>
        <v>1</v>
      </c>
      <c r="L168" s="246">
        <f t="shared" si="21"/>
        <v>0</v>
      </c>
      <c r="N168" s="237"/>
    </row>
    <row r="169" spans="2:14">
      <c r="B169" s="262" t="s">
        <v>147</v>
      </c>
      <c r="C169" s="262"/>
      <c r="D169" s="262">
        <v>12.5</v>
      </c>
      <c r="E169" s="283" t="s">
        <v>243</v>
      </c>
      <c r="F169" s="196"/>
      <c r="G169" s="553">
        <f>SUM(G170:G176)</f>
        <v>0</v>
      </c>
      <c r="H169" s="549">
        <f>SUM(H170:H176)</f>
        <v>0</v>
      </c>
      <c r="I169" s="549">
        <f>SUM(I170:I176)</f>
        <v>0</v>
      </c>
      <c r="J169" s="59"/>
      <c r="K169" s="306"/>
      <c r="L169" s="269">
        <f>SUM(L170:L176)</f>
        <v>0</v>
      </c>
      <c r="N169" s="237"/>
    </row>
    <row r="170" spans="2:14">
      <c r="B170" s="262"/>
      <c r="C170" s="262"/>
      <c r="D170" s="263" t="s">
        <v>409</v>
      </c>
      <c r="E170" s="256" t="s">
        <v>229</v>
      </c>
      <c r="F170" s="196"/>
      <c r="G170" s="32"/>
      <c r="H170" s="18"/>
      <c r="I170" s="18"/>
      <c r="J170" s="212" t="str">
        <f t="shared" ref="J170:J176" si="22">IF(AND(LEFT(E170,4)="For ",SUM(H170:I170)&gt;0,G170=""),"Error: No input in cell "&amp;ADDRESS(ROW(G170),COLUMN(G170),4),"")</f>
        <v/>
      </c>
      <c r="K170" s="527">
        <f>IFERROR(VLOOKUP(G170,'RC%_Receivables'!$J$11:$L$15,3,TRUE),'RC%_Receivables'!$L$11)</f>
        <v>5.1999999999999998E-2</v>
      </c>
      <c r="L170" s="288">
        <f t="shared" ref="L170:L176" si="23">SUM(H170:I170)*K170</f>
        <v>0</v>
      </c>
      <c r="N170" s="237"/>
    </row>
    <row r="171" spans="2:14">
      <c r="B171" s="262"/>
      <c r="C171" s="262"/>
      <c r="D171" s="263" t="s">
        <v>410</v>
      </c>
      <c r="E171" s="256" t="s">
        <v>230</v>
      </c>
      <c r="F171" s="264"/>
      <c r="G171" s="32"/>
      <c r="H171" s="18"/>
      <c r="I171" s="18"/>
      <c r="J171" s="212" t="str">
        <f t="shared" si="22"/>
        <v/>
      </c>
      <c r="K171" s="527">
        <f>IFERROR(VLOOKUP(G171,'RC%_Receivables'!$J$11:$M$15,4,TRUE),'RC%_Receivables'!$M$11)</f>
        <v>0.16700000000000001</v>
      </c>
      <c r="L171" s="288">
        <f t="shared" si="23"/>
        <v>0</v>
      </c>
      <c r="N171" s="237"/>
    </row>
    <row r="172" spans="2:14">
      <c r="B172" s="262"/>
      <c r="C172" s="262"/>
      <c r="D172" s="263" t="s">
        <v>411</v>
      </c>
      <c r="E172" s="256" t="s">
        <v>231</v>
      </c>
      <c r="F172" s="264"/>
      <c r="G172" s="32"/>
      <c r="H172" s="18"/>
      <c r="I172" s="18"/>
      <c r="J172" s="212" t="str">
        <f t="shared" si="22"/>
        <v/>
      </c>
      <c r="K172" s="527">
        <f>IFERROR(VLOOKUP(G172,'RC%_Receivables'!$J$11:$N$15,5,TRUE),'RC%_Receivables'!$N$11)</f>
        <v>0.38200000000000001</v>
      </c>
      <c r="L172" s="288">
        <f t="shared" si="23"/>
        <v>0</v>
      </c>
      <c r="N172" s="237"/>
    </row>
    <row r="173" spans="2:14">
      <c r="B173" s="262"/>
      <c r="C173" s="262"/>
      <c r="D173" s="263" t="s">
        <v>412</v>
      </c>
      <c r="E173" s="256" t="s">
        <v>232</v>
      </c>
      <c r="F173" s="264"/>
      <c r="G173" s="32"/>
      <c r="H173" s="18"/>
      <c r="I173" s="18"/>
      <c r="J173" s="212" t="str">
        <f t="shared" si="22"/>
        <v/>
      </c>
      <c r="K173" s="527">
        <f>IFERROR(VLOOKUP(G173,'RC%_Receivables'!$J$11:$O$15,6,TRUE),'RC%_Receivables'!$O$11)</f>
        <v>0.71199999999999997</v>
      </c>
      <c r="L173" s="288">
        <f t="shared" si="23"/>
        <v>0</v>
      </c>
      <c r="N173" s="237"/>
    </row>
    <row r="174" spans="2:14">
      <c r="B174" s="262"/>
      <c r="C174" s="262"/>
      <c r="D174" s="263" t="s">
        <v>413</v>
      </c>
      <c r="E174" s="256" t="s">
        <v>286</v>
      </c>
      <c r="F174" s="264"/>
      <c r="G174" s="32"/>
      <c r="H174" s="18"/>
      <c r="I174" s="18"/>
      <c r="J174" s="212" t="str">
        <f t="shared" si="22"/>
        <v/>
      </c>
      <c r="K174" s="527">
        <f>IFERROR(VLOOKUP(G174,'RC%_Receivables'!$J$11:$P$15,7,TRUE),'RC%_Receivables'!$P$11)</f>
        <v>1</v>
      </c>
      <c r="L174" s="288">
        <f t="shared" si="23"/>
        <v>0</v>
      </c>
      <c r="N174" s="237"/>
    </row>
    <row r="175" spans="2:14">
      <c r="B175" s="263"/>
      <c r="C175" s="263"/>
      <c r="D175" s="263" t="s">
        <v>414</v>
      </c>
      <c r="E175" s="256" t="s">
        <v>287</v>
      </c>
      <c r="F175" s="286"/>
      <c r="G175" s="32"/>
      <c r="H175" s="33"/>
      <c r="I175" s="33"/>
      <c r="J175" s="212" t="str">
        <f t="shared" si="22"/>
        <v/>
      </c>
      <c r="K175" s="527">
        <f>IFERROR(VLOOKUP(G175,'RC%_Receivables'!$J$11:$Q$15,8,TRUE),'RC%_Receivables'!$Q$11)</f>
        <v>1</v>
      </c>
      <c r="L175" s="288">
        <f t="shared" si="23"/>
        <v>0</v>
      </c>
      <c r="N175" s="237"/>
    </row>
    <row r="176" spans="2:14">
      <c r="B176" s="307"/>
      <c r="C176" s="307"/>
      <c r="D176" s="263" t="s">
        <v>415</v>
      </c>
      <c r="E176" s="256" t="s">
        <v>288</v>
      </c>
      <c r="F176" s="244"/>
      <c r="G176" s="32"/>
      <c r="H176" s="33"/>
      <c r="I176" s="33"/>
      <c r="J176" s="212" t="str">
        <f t="shared" si="22"/>
        <v/>
      </c>
      <c r="K176" s="527">
        <f>IFERROR(VLOOKUP(G176,'RC%_Receivables'!$J$11:$R$15,9,TRUE),'RC%_Receivables'!$R$11)</f>
        <v>1</v>
      </c>
      <c r="L176" s="288">
        <f t="shared" si="23"/>
        <v>0</v>
      </c>
      <c r="N176" s="237"/>
    </row>
    <row r="177" spans="2:14">
      <c r="B177" s="262" t="s">
        <v>107</v>
      </c>
      <c r="C177" s="262"/>
      <c r="D177" s="262">
        <v>12.6</v>
      </c>
      <c r="E177" s="283" t="s">
        <v>169</v>
      </c>
      <c r="F177" s="264"/>
      <c r="G177" s="541"/>
      <c r="H177" s="549">
        <f>SUM(H178:H183)</f>
        <v>0</v>
      </c>
      <c r="I177" s="549">
        <f>SUM(I178:I183)</f>
        <v>0</v>
      </c>
      <c r="J177"/>
      <c r="K177" s="287"/>
      <c r="L177" s="246">
        <f>SUM(L178:L183)</f>
        <v>0</v>
      </c>
      <c r="N177" s="237"/>
    </row>
    <row r="178" spans="2:14">
      <c r="B178" s="263"/>
      <c r="C178" s="263"/>
      <c r="D178" s="263" t="s">
        <v>416</v>
      </c>
      <c r="E178" s="256" t="s">
        <v>326</v>
      </c>
      <c r="F178" s="286"/>
      <c r="G178" s="541"/>
      <c r="H178" s="18"/>
      <c r="I178" s="18"/>
      <c r="J178"/>
      <c r="K178" s="245">
        <v>1.4999999999999999E-2</v>
      </c>
      <c r="L178" s="246">
        <f t="shared" ref="L178:L182" si="24">SUM(H178:I178)*K178</f>
        <v>0</v>
      </c>
      <c r="N178" s="237"/>
    </row>
    <row r="179" spans="2:14">
      <c r="B179" s="263"/>
      <c r="C179" s="263"/>
      <c r="D179" s="263" t="s">
        <v>417</v>
      </c>
      <c r="E179" s="256" t="s">
        <v>347</v>
      </c>
      <c r="F179" s="286"/>
      <c r="G179" s="541"/>
      <c r="H179" s="18"/>
      <c r="I179" s="18"/>
      <c r="J179"/>
      <c r="K179" s="245">
        <v>0.04</v>
      </c>
      <c r="L179" s="246">
        <f t="shared" si="24"/>
        <v>0</v>
      </c>
      <c r="N179" s="237"/>
    </row>
    <row r="180" spans="2:14">
      <c r="B180" s="263"/>
      <c r="C180" s="263"/>
      <c r="D180" s="263" t="s">
        <v>418</v>
      </c>
      <c r="E180" s="256" t="s">
        <v>328</v>
      </c>
      <c r="F180" s="286"/>
      <c r="G180" s="541"/>
      <c r="H180" s="18"/>
      <c r="I180" s="18"/>
      <c r="J180"/>
      <c r="K180" s="245">
        <v>0.06</v>
      </c>
      <c r="L180" s="246">
        <f t="shared" si="24"/>
        <v>0</v>
      </c>
      <c r="N180" s="237"/>
    </row>
    <row r="181" spans="2:14">
      <c r="B181" s="263"/>
      <c r="C181" s="263"/>
      <c r="D181" s="263" t="s">
        <v>419</v>
      </c>
      <c r="E181" s="256" t="s">
        <v>329</v>
      </c>
      <c r="F181" s="286"/>
      <c r="G181" s="541"/>
      <c r="H181" s="18"/>
      <c r="I181" s="18"/>
      <c r="J181"/>
      <c r="K181" s="245">
        <v>0.12</v>
      </c>
      <c r="L181" s="246">
        <f t="shared" si="24"/>
        <v>0</v>
      </c>
      <c r="N181" s="237"/>
    </row>
    <row r="182" spans="2:14">
      <c r="B182" s="263"/>
      <c r="C182" s="263"/>
      <c r="D182" s="263" t="s">
        <v>420</v>
      </c>
      <c r="E182" s="256" t="s">
        <v>348</v>
      </c>
      <c r="F182" s="286"/>
      <c r="G182" s="541"/>
      <c r="H182" s="18"/>
      <c r="I182" s="18"/>
      <c r="J182"/>
      <c r="K182" s="245">
        <v>0.25</v>
      </c>
      <c r="L182" s="246">
        <f t="shared" si="24"/>
        <v>0</v>
      </c>
      <c r="N182" s="237"/>
    </row>
    <row r="183" spans="2:14">
      <c r="B183" s="263"/>
      <c r="C183" s="263"/>
      <c r="D183" s="263" t="s">
        <v>421</v>
      </c>
      <c r="E183" s="256" t="s">
        <v>4</v>
      </c>
      <c r="F183" s="286"/>
      <c r="G183" s="541"/>
      <c r="H183" s="549">
        <f>SUM(H184:H185)</f>
        <v>0</v>
      </c>
      <c r="I183" s="549">
        <f>SUM(I184:I185)</f>
        <v>0</v>
      </c>
      <c r="J183"/>
      <c r="K183" s="247"/>
      <c r="L183" s="246">
        <f>SUM(L184:L185)</f>
        <v>0</v>
      </c>
      <c r="N183" s="237"/>
    </row>
    <row r="184" spans="2:14">
      <c r="B184" s="263"/>
      <c r="C184" s="263"/>
      <c r="D184" s="263" t="s">
        <v>422</v>
      </c>
      <c r="E184" s="302" t="s">
        <v>290</v>
      </c>
      <c r="F184" s="286"/>
      <c r="G184" s="541"/>
      <c r="H184" s="18"/>
      <c r="I184" s="18"/>
      <c r="J184"/>
      <c r="K184" s="245">
        <v>0.15</v>
      </c>
      <c r="L184" s="246">
        <f>SUM(H184:I184)*K184</f>
        <v>0</v>
      </c>
      <c r="N184" s="237"/>
    </row>
    <row r="185" spans="2:14">
      <c r="B185" s="263"/>
      <c r="C185" s="263"/>
      <c r="D185" s="263" t="s">
        <v>423</v>
      </c>
      <c r="E185" s="302" t="s">
        <v>446</v>
      </c>
      <c r="F185" s="286"/>
      <c r="G185" s="541"/>
      <c r="H185" s="18"/>
      <c r="I185" s="18"/>
      <c r="J185"/>
      <c r="K185" s="502">
        <v>0.25</v>
      </c>
      <c r="L185" s="246">
        <f>SUM(H185:I185)*K185</f>
        <v>0</v>
      </c>
      <c r="N185" s="237"/>
    </row>
    <row r="186" spans="2:14" s="59" customFormat="1">
      <c r="B186" s="282" t="s">
        <v>107</v>
      </c>
      <c r="C186" s="285"/>
      <c r="D186" s="282">
        <v>12.7</v>
      </c>
      <c r="E186" s="283" t="s">
        <v>244</v>
      </c>
      <c r="F186" s="264"/>
      <c r="G186" s="541"/>
      <c r="H186" s="549">
        <f>SUM(H187:H192)</f>
        <v>0</v>
      </c>
      <c r="I186" s="549">
        <f>SUM(I187:I192)</f>
        <v>0</v>
      </c>
      <c r="K186" s="287"/>
      <c r="L186" s="288">
        <f>SUM(L187:L192)</f>
        <v>0</v>
      </c>
      <c r="N186" s="237"/>
    </row>
    <row r="187" spans="2:14">
      <c r="B187" s="285"/>
      <c r="C187" s="285"/>
      <c r="D187" s="285" t="s">
        <v>424</v>
      </c>
      <c r="E187" s="290" t="s">
        <v>326</v>
      </c>
      <c r="F187" s="286"/>
      <c r="G187" s="541"/>
      <c r="H187" s="18"/>
      <c r="I187" s="18"/>
      <c r="J187"/>
      <c r="K187" s="245">
        <v>1.4999999999999999E-2</v>
      </c>
      <c r="L187" s="246">
        <f t="shared" ref="L187:L191" si="25">SUM(H187:I187)*K187</f>
        <v>0</v>
      </c>
      <c r="N187" s="237"/>
    </row>
    <row r="188" spans="2:14">
      <c r="B188" s="285"/>
      <c r="C188" s="285"/>
      <c r="D188" s="285" t="s">
        <v>425</v>
      </c>
      <c r="E188" s="290" t="s">
        <v>347</v>
      </c>
      <c r="F188" s="286"/>
      <c r="G188" s="541"/>
      <c r="H188" s="18"/>
      <c r="I188" s="18"/>
      <c r="J188"/>
      <c r="K188" s="245">
        <v>0.04</v>
      </c>
      <c r="L188" s="246">
        <f t="shared" si="25"/>
        <v>0</v>
      </c>
      <c r="N188" s="237"/>
    </row>
    <row r="189" spans="2:14">
      <c r="B189" s="285"/>
      <c r="C189" s="285"/>
      <c r="D189" s="285" t="s">
        <v>426</v>
      </c>
      <c r="E189" s="290" t="s">
        <v>328</v>
      </c>
      <c r="F189" s="286"/>
      <c r="G189" s="541"/>
      <c r="H189" s="18"/>
      <c r="I189" s="18"/>
      <c r="J189"/>
      <c r="K189" s="245">
        <v>0.06</v>
      </c>
      <c r="L189" s="246">
        <f t="shared" si="25"/>
        <v>0</v>
      </c>
      <c r="N189" s="237"/>
    </row>
    <row r="190" spans="2:14">
      <c r="B190" s="285"/>
      <c r="C190" s="285"/>
      <c r="D190" s="285" t="s">
        <v>427</v>
      </c>
      <c r="E190" s="290" t="s">
        <v>329</v>
      </c>
      <c r="F190" s="286"/>
      <c r="G190" s="541"/>
      <c r="H190" s="18"/>
      <c r="I190" s="18"/>
      <c r="J190"/>
      <c r="K190" s="245">
        <v>0.12</v>
      </c>
      <c r="L190" s="246">
        <f t="shared" si="25"/>
        <v>0</v>
      </c>
      <c r="N190" s="237"/>
    </row>
    <row r="191" spans="2:14">
      <c r="B191" s="285"/>
      <c r="C191" s="285"/>
      <c r="D191" s="285" t="s">
        <v>428</v>
      </c>
      <c r="E191" s="290" t="s">
        <v>348</v>
      </c>
      <c r="F191" s="286"/>
      <c r="G191" s="541"/>
      <c r="H191" s="18"/>
      <c r="I191" s="18"/>
      <c r="J191"/>
      <c r="K191" s="245">
        <v>0.25</v>
      </c>
      <c r="L191" s="246">
        <f t="shared" si="25"/>
        <v>0</v>
      </c>
      <c r="N191" s="237"/>
    </row>
    <row r="192" spans="2:14">
      <c r="B192" s="285"/>
      <c r="C192" s="285"/>
      <c r="D192" s="285" t="s">
        <v>429</v>
      </c>
      <c r="E192" s="290" t="s">
        <v>4</v>
      </c>
      <c r="F192" s="286"/>
      <c r="G192" s="541"/>
      <c r="H192" s="542">
        <f>SUM(H193:H194)</f>
        <v>0</v>
      </c>
      <c r="I192" s="542">
        <f>SUM(I193:I194)</f>
        <v>0</v>
      </c>
      <c r="J192"/>
      <c r="K192" s="247"/>
      <c r="L192" s="246">
        <f>SUM(L193:L194)</f>
        <v>0</v>
      </c>
      <c r="N192" s="237"/>
    </row>
    <row r="193" spans="2:14">
      <c r="B193" s="285"/>
      <c r="C193" s="285"/>
      <c r="D193" s="285" t="s">
        <v>430</v>
      </c>
      <c r="E193" s="291" t="s">
        <v>290</v>
      </c>
      <c r="F193" s="286"/>
      <c r="G193" s="541"/>
      <c r="H193" s="18"/>
      <c r="I193" s="18"/>
      <c r="J193"/>
      <c r="K193" s="245">
        <v>0.15</v>
      </c>
      <c r="L193" s="246">
        <f t="shared" ref="L193:L194" si="26">SUM(H193:I193)*K193</f>
        <v>0</v>
      </c>
      <c r="N193" s="237"/>
    </row>
    <row r="194" spans="2:14">
      <c r="B194" s="285"/>
      <c r="C194" s="285"/>
      <c r="D194" s="285" t="s">
        <v>431</v>
      </c>
      <c r="E194" s="302" t="s">
        <v>446</v>
      </c>
      <c r="F194" s="286"/>
      <c r="G194" s="541"/>
      <c r="H194" s="18"/>
      <c r="I194" s="18"/>
      <c r="J194"/>
      <c r="K194" s="502">
        <v>0.25</v>
      </c>
      <c r="L194" s="246">
        <f t="shared" si="26"/>
        <v>0</v>
      </c>
      <c r="N194" s="237"/>
    </row>
    <row r="195" spans="2:14">
      <c r="B195" s="316" t="s">
        <v>102</v>
      </c>
      <c r="C195" s="316"/>
      <c r="D195" s="316">
        <v>12.8</v>
      </c>
      <c r="E195" s="314" t="s">
        <v>245</v>
      </c>
      <c r="F195" s="317"/>
      <c r="G195" s="541"/>
      <c r="H195" s="542">
        <f>SUM(H196,H199)</f>
        <v>0</v>
      </c>
      <c r="I195" s="542">
        <f>SUM(I196,I199)</f>
        <v>0</v>
      </c>
      <c r="J195"/>
      <c r="K195" s="304"/>
      <c r="L195" s="246">
        <f>SUM(L196,L199)</f>
        <v>0</v>
      </c>
      <c r="N195" s="237"/>
    </row>
    <row r="196" spans="2:14">
      <c r="B196" s="312"/>
      <c r="C196" s="312"/>
      <c r="D196" s="312" t="s">
        <v>432</v>
      </c>
      <c r="E196" s="318" t="s">
        <v>164</v>
      </c>
      <c r="F196" s="317"/>
      <c r="G196" s="541"/>
      <c r="H196" s="542">
        <f>SUM(H197:H198)</f>
        <v>0</v>
      </c>
      <c r="I196" s="542">
        <f>SUM(I197:I198)</f>
        <v>0</v>
      </c>
      <c r="J196"/>
      <c r="K196" s="319"/>
      <c r="L196" s="246">
        <f>SUM(L197:L198)</f>
        <v>0</v>
      </c>
      <c r="N196" s="237"/>
    </row>
    <row r="197" spans="2:14">
      <c r="B197" s="312"/>
      <c r="C197" s="312"/>
      <c r="D197" s="312" t="s">
        <v>433</v>
      </c>
      <c r="E197" s="315" t="s">
        <v>238</v>
      </c>
      <c r="F197" s="317"/>
      <c r="G197" s="541"/>
      <c r="H197" s="18"/>
      <c r="I197" s="18"/>
      <c r="J197"/>
      <c r="K197" s="245">
        <v>0.45</v>
      </c>
      <c r="L197" s="246">
        <f t="shared" ref="L197:L198" si="27">SUM(H197:I197)*K197</f>
        <v>0</v>
      </c>
      <c r="N197" s="237"/>
    </row>
    <row r="198" spans="2:14">
      <c r="B198" s="312"/>
      <c r="C198" s="312"/>
      <c r="D198" s="312" t="s">
        <v>434</v>
      </c>
      <c r="E198" s="315" t="s">
        <v>239</v>
      </c>
      <c r="F198" s="317"/>
      <c r="G198" s="541"/>
      <c r="H198" s="18"/>
      <c r="I198" s="18"/>
      <c r="J198"/>
      <c r="K198" s="245">
        <v>0.6</v>
      </c>
      <c r="L198" s="246">
        <f t="shared" si="27"/>
        <v>0</v>
      </c>
      <c r="N198" s="237"/>
    </row>
    <row r="199" spans="2:14">
      <c r="B199" s="312"/>
      <c r="C199" s="312"/>
      <c r="D199" s="312" t="s">
        <v>435</v>
      </c>
      <c r="E199" s="318" t="s">
        <v>165</v>
      </c>
      <c r="F199" s="317"/>
      <c r="G199" s="541"/>
      <c r="H199" s="542">
        <f>SUM(H200:H201)</f>
        <v>0</v>
      </c>
      <c r="I199" s="542">
        <f>SUM(I200:I201)</f>
        <v>0</v>
      </c>
      <c r="J199"/>
      <c r="K199" s="320"/>
      <c r="L199" s="246">
        <f>SUM(L200:L201)</f>
        <v>0</v>
      </c>
      <c r="N199" s="237"/>
    </row>
    <row r="200" spans="2:14">
      <c r="B200" s="312"/>
      <c r="C200" s="312"/>
      <c r="D200" s="312" t="s">
        <v>436</v>
      </c>
      <c r="E200" s="315" t="s">
        <v>238</v>
      </c>
      <c r="F200" s="313"/>
      <c r="G200" s="541"/>
      <c r="H200" s="18"/>
      <c r="I200" s="18"/>
      <c r="J200"/>
      <c r="K200" s="245">
        <v>0.45</v>
      </c>
      <c r="L200" s="246">
        <f t="shared" ref="L200:L201" si="28">SUM(H200:I200)*K200</f>
        <v>0</v>
      </c>
      <c r="N200" s="237"/>
    </row>
    <row r="201" spans="2:14">
      <c r="B201" s="312"/>
      <c r="C201" s="312"/>
      <c r="D201" s="312" t="s">
        <v>437</v>
      </c>
      <c r="E201" s="315" t="s">
        <v>239</v>
      </c>
      <c r="F201" s="313"/>
      <c r="G201" s="541"/>
      <c r="H201" s="40"/>
      <c r="I201" s="40"/>
      <c r="J201"/>
      <c r="K201" s="245">
        <v>0.6</v>
      </c>
      <c r="L201" s="246">
        <f t="shared" si="28"/>
        <v>0</v>
      </c>
      <c r="N201" s="237"/>
    </row>
    <row r="202" spans="2:14" collapsed="1">
      <c r="B202" s="258" t="s">
        <v>147</v>
      </c>
      <c r="C202" s="258" t="s">
        <v>80</v>
      </c>
      <c r="D202" s="258">
        <v>13</v>
      </c>
      <c r="E202" s="272" t="s">
        <v>506</v>
      </c>
      <c r="F202" s="321"/>
      <c r="G202" s="554">
        <f>SUM(G203:G209)</f>
        <v>0</v>
      </c>
      <c r="H202" s="554">
        <f>SUM(H203:H209)</f>
        <v>0</v>
      </c>
      <c r="I202" s="554">
        <f>SUM(I203:I209)</f>
        <v>0</v>
      </c>
      <c r="J202"/>
      <c r="K202" s="309"/>
      <c r="L202" s="310">
        <f>SUM(L203:L209)</f>
        <v>0</v>
      </c>
      <c r="N202" s="237"/>
    </row>
    <row r="203" spans="2:14">
      <c r="B203" s="262"/>
      <c r="C203" s="262"/>
      <c r="D203" s="263">
        <v>13.1</v>
      </c>
      <c r="E203" s="243" t="s">
        <v>229</v>
      </c>
      <c r="F203" s="273"/>
      <c r="G203" s="32"/>
      <c r="H203" s="18"/>
      <c r="I203" s="18"/>
      <c r="J203" s="212" t="str">
        <f t="shared" ref="J203:J209" si="29">IF(AND(LEFT(E203,4)="For ",SUM(H203:I203)&gt;0,G203=""),"Error: No input in cell "&amp;ADDRESS(ROW(G203),COLUMN(G203),4),"")</f>
        <v/>
      </c>
      <c r="K203" s="527">
        <f>IFERROR(VLOOKUP(G203,'RC%_Receivables'!$J$11:$L$15,3,TRUE),'RC%_Receivables'!$L$11)</f>
        <v>5.1999999999999998E-2</v>
      </c>
      <c r="L203" s="311">
        <f t="shared" ref="L203:L209" si="30">SUM(H203:I203)*K203</f>
        <v>0</v>
      </c>
      <c r="N203" s="237"/>
    </row>
    <row r="204" spans="2:14">
      <c r="B204" s="263"/>
      <c r="C204" s="263"/>
      <c r="D204" s="263">
        <v>13.2</v>
      </c>
      <c r="E204" s="243" t="s">
        <v>230</v>
      </c>
      <c r="F204" s="286"/>
      <c r="G204" s="32"/>
      <c r="H204" s="18"/>
      <c r="I204" s="18"/>
      <c r="J204" s="212" t="str">
        <f t="shared" si="29"/>
        <v/>
      </c>
      <c r="K204" s="527">
        <f>IFERROR(VLOOKUP(G204,'RC%_Receivables'!$J$11:$M$15,4,TRUE),'RC%_Receivables'!$M$11)</f>
        <v>0.16700000000000001</v>
      </c>
      <c r="L204" s="246">
        <f t="shared" si="30"/>
        <v>0</v>
      </c>
      <c r="N204" s="237"/>
    </row>
    <row r="205" spans="2:14">
      <c r="B205" s="263"/>
      <c r="C205" s="263"/>
      <c r="D205" s="263">
        <v>13.3</v>
      </c>
      <c r="E205" s="243" t="s">
        <v>231</v>
      </c>
      <c r="F205" s="286"/>
      <c r="G205" s="32"/>
      <c r="H205" s="18"/>
      <c r="I205" s="18"/>
      <c r="J205" s="212" t="str">
        <f t="shared" si="29"/>
        <v/>
      </c>
      <c r="K205" s="527">
        <f>IFERROR(VLOOKUP(G205,'RC%_Receivables'!$J$11:$N$15,5,TRUE),'RC%_Receivables'!$N$11)</f>
        <v>0.38200000000000001</v>
      </c>
      <c r="L205" s="246">
        <f t="shared" si="30"/>
        <v>0</v>
      </c>
      <c r="N205" s="237"/>
    </row>
    <row r="206" spans="2:14">
      <c r="B206" s="263"/>
      <c r="C206" s="263"/>
      <c r="D206" s="263">
        <v>13.4</v>
      </c>
      <c r="E206" s="243" t="s">
        <v>232</v>
      </c>
      <c r="F206" s="286"/>
      <c r="G206" s="32"/>
      <c r="H206" s="18"/>
      <c r="I206" s="18"/>
      <c r="J206" s="212" t="str">
        <f t="shared" si="29"/>
        <v/>
      </c>
      <c r="K206" s="527">
        <f>IFERROR(VLOOKUP(G206,'RC%_Receivables'!$J$11:$O$15,6,TRUE),'RC%_Receivables'!$O$11)</f>
        <v>0.71199999999999997</v>
      </c>
      <c r="L206" s="246">
        <f t="shared" si="30"/>
        <v>0</v>
      </c>
      <c r="N206" s="237"/>
    </row>
    <row r="207" spans="2:14">
      <c r="B207" s="263"/>
      <c r="C207" s="263"/>
      <c r="D207" s="263">
        <v>13.5</v>
      </c>
      <c r="E207" s="243" t="s">
        <v>286</v>
      </c>
      <c r="F207" s="286"/>
      <c r="G207" s="32"/>
      <c r="H207" s="18"/>
      <c r="I207" s="18"/>
      <c r="J207" s="212" t="str">
        <f t="shared" si="29"/>
        <v/>
      </c>
      <c r="K207" s="527">
        <f>IFERROR(VLOOKUP(G207,'RC%_Receivables'!$J$11:$P$15,7,TRUE),'RC%_Receivables'!$P$11)</f>
        <v>1</v>
      </c>
      <c r="L207" s="246">
        <f t="shared" si="30"/>
        <v>0</v>
      </c>
      <c r="N207" s="237"/>
    </row>
    <row r="208" spans="2:14">
      <c r="B208" s="263"/>
      <c r="C208" s="263"/>
      <c r="D208" s="263">
        <v>13.6</v>
      </c>
      <c r="E208" s="243" t="s">
        <v>287</v>
      </c>
      <c r="F208" s="286"/>
      <c r="G208" s="36"/>
      <c r="H208" s="18"/>
      <c r="I208" s="18"/>
      <c r="J208" s="212" t="str">
        <f t="shared" si="29"/>
        <v/>
      </c>
      <c r="K208" s="527">
        <f>IFERROR(VLOOKUP(G208,'RC%_Receivables'!$J$11:$Q$15,8,TRUE),'RC%_Receivables'!$Q$11)</f>
        <v>1</v>
      </c>
      <c r="L208" s="246">
        <f t="shared" si="30"/>
        <v>0</v>
      </c>
      <c r="N208" s="237"/>
    </row>
    <row r="209" spans="2:14">
      <c r="B209" s="322"/>
      <c r="C209" s="322"/>
      <c r="D209" s="322">
        <v>13.7</v>
      </c>
      <c r="E209" s="323" t="s">
        <v>288</v>
      </c>
      <c r="F209" s="494"/>
      <c r="G209" s="36"/>
      <c r="H209" s="21"/>
      <c r="I209" s="21"/>
      <c r="J209" s="212" t="str">
        <f t="shared" si="29"/>
        <v/>
      </c>
      <c r="K209" s="527">
        <f>IFERROR(VLOOKUP(G209,'RC%_Receivables'!$J$11:$R$15,9,TRUE),'RC%_Receivables'!$R$11)</f>
        <v>1</v>
      </c>
      <c r="L209" s="249">
        <f t="shared" si="30"/>
        <v>0</v>
      </c>
      <c r="N209" s="237"/>
    </row>
    <row r="210" spans="2:14">
      <c r="B210" s="325" t="s">
        <v>107</v>
      </c>
      <c r="C210" s="325" t="s">
        <v>80</v>
      </c>
      <c r="D210" s="477">
        <v>14</v>
      </c>
      <c r="E210" s="569" t="s">
        <v>246</v>
      </c>
      <c r="F210" s="493"/>
      <c r="G210" s="555"/>
      <c r="H210" s="556">
        <f>SUM(H211:H212,H218)</f>
        <v>0</v>
      </c>
      <c r="I210" s="556">
        <f>SUM(I211:I212,I218)</f>
        <v>0</v>
      </c>
      <c r="J210"/>
      <c r="K210" s="240"/>
      <c r="L210" s="241">
        <f>SUM(L211:L218)</f>
        <v>0</v>
      </c>
      <c r="N210" s="237"/>
    </row>
    <row r="211" spans="2:14">
      <c r="B211" s="307"/>
      <c r="C211" s="326"/>
      <c r="D211" s="586">
        <v>14.1</v>
      </c>
      <c r="E211" s="243" t="s">
        <v>320</v>
      </c>
      <c r="F211" s="587"/>
      <c r="G211" s="541"/>
      <c r="H211" s="505"/>
      <c r="I211" s="20"/>
      <c r="J211"/>
      <c r="K211" s="247"/>
      <c r="L211" s="246">
        <f t="shared" ref="L211:L218" si="31">SUM(H211:I211)*K211</f>
        <v>0</v>
      </c>
      <c r="N211" s="237"/>
    </row>
    <row r="212" spans="2:14">
      <c r="B212" s="322"/>
      <c r="C212" s="327"/>
      <c r="D212" s="588">
        <v>14.2</v>
      </c>
      <c r="E212" s="323" t="s">
        <v>482</v>
      </c>
      <c r="F212" s="589"/>
      <c r="G212" s="551"/>
      <c r="H212" s="556">
        <f>SUM(H213:H217)</f>
        <v>0</v>
      </c>
      <c r="I212" s="556">
        <f>SUM(I213:I217)</f>
        <v>0</v>
      </c>
      <c r="J212"/>
      <c r="K212" s="240"/>
      <c r="L212" s="516">
        <f t="shared" si="31"/>
        <v>0</v>
      </c>
      <c r="N212" s="237"/>
    </row>
    <row r="213" spans="2:14">
      <c r="B213" s="322"/>
      <c r="C213" s="327"/>
      <c r="D213" s="588" t="s">
        <v>483</v>
      </c>
      <c r="E213" s="323" t="s">
        <v>484</v>
      </c>
      <c r="F213" s="589"/>
      <c r="G213" s="551"/>
      <c r="H213" s="505"/>
      <c r="I213" s="505"/>
      <c r="J213"/>
      <c r="K213" s="495">
        <v>0.04</v>
      </c>
      <c r="L213" s="516">
        <f t="shared" si="31"/>
        <v>0</v>
      </c>
      <c r="N213" s="237"/>
    </row>
    <row r="214" spans="2:14">
      <c r="B214" s="322"/>
      <c r="C214" s="327"/>
      <c r="D214" s="588" t="s">
        <v>485</v>
      </c>
      <c r="E214" s="323" t="s">
        <v>486</v>
      </c>
      <c r="F214" s="589"/>
      <c r="G214" s="551"/>
      <c r="H214" s="505"/>
      <c r="I214" s="505"/>
      <c r="J214"/>
      <c r="K214" s="495">
        <v>0.06</v>
      </c>
      <c r="L214" s="516">
        <f t="shared" si="31"/>
        <v>0</v>
      </c>
      <c r="N214" s="237"/>
    </row>
    <row r="215" spans="2:14">
      <c r="B215" s="322"/>
      <c r="C215" s="327"/>
      <c r="D215" s="588" t="s">
        <v>487</v>
      </c>
      <c r="E215" s="323" t="s">
        <v>488</v>
      </c>
      <c r="F215" s="589"/>
      <c r="G215" s="551"/>
      <c r="H215" s="505"/>
      <c r="I215" s="505"/>
      <c r="J215"/>
      <c r="K215" s="495">
        <v>0.12</v>
      </c>
      <c r="L215" s="516">
        <f t="shared" si="31"/>
        <v>0</v>
      </c>
      <c r="N215" s="237"/>
    </row>
    <row r="216" spans="2:14">
      <c r="B216" s="322"/>
      <c r="C216" s="327"/>
      <c r="D216" s="588" t="s">
        <v>489</v>
      </c>
      <c r="E216" s="323" t="s">
        <v>490</v>
      </c>
      <c r="F216" s="589"/>
      <c r="G216" s="551"/>
      <c r="H216" s="505"/>
      <c r="I216" s="505"/>
      <c r="J216"/>
      <c r="K216" s="495">
        <v>0.15</v>
      </c>
      <c r="L216" s="516">
        <f t="shared" si="31"/>
        <v>0</v>
      </c>
      <c r="N216" s="237"/>
    </row>
    <row r="217" spans="2:14">
      <c r="B217" s="322"/>
      <c r="C217" s="327"/>
      <c r="D217" s="588" t="s">
        <v>491</v>
      </c>
      <c r="E217" s="323" t="s">
        <v>492</v>
      </c>
      <c r="F217" s="589"/>
      <c r="G217" s="551"/>
      <c r="H217" s="505"/>
      <c r="I217" s="505"/>
      <c r="J217"/>
      <c r="K217" s="495">
        <v>0.25</v>
      </c>
      <c r="L217" s="516">
        <f t="shared" si="31"/>
        <v>0</v>
      </c>
      <c r="N217" s="237"/>
    </row>
    <row r="218" spans="2:14">
      <c r="B218" s="322"/>
      <c r="C218" s="327"/>
      <c r="D218" s="588">
        <v>14.3</v>
      </c>
      <c r="E218" s="323" t="s">
        <v>493</v>
      </c>
      <c r="F218" s="589"/>
      <c r="G218" s="551"/>
      <c r="H218" s="505"/>
      <c r="I218" s="505"/>
      <c r="J218"/>
      <c r="K218" s="495">
        <v>0.6</v>
      </c>
      <c r="L218" s="516">
        <f t="shared" si="31"/>
        <v>0</v>
      </c>
      <c r="N218" s="237"/>
    </row>
    <row r="219" spans="2:14">
      <c r="B219" s="258" t="s">
        <v>108</v>
      </c>
      <c r="C219" s="258" t="s">
        <v>80</v>
      </c>
      <c r="D219" s="258">
        <v>15</v>
      </c>
      <c r="E219" s="259" t="s">
        <v>293</v>
      </c>
      <c r="F219" s="260"/>
      <c r="G219" s="538"/>
      <c r="H219" s="17"/>
      <c r="I219" s="17"/>
      <c r="J219"/>
      <c r="K219" s="508">
        <v>0</v>
      </c>
      <c r="L219" s="515">
        <f t="shared" ref="L219" si="32">SUM(H219:I219)*K219</f>
        <v>0</v>
      </c>
      <c r="N219" s="237"/>
    </row>
    <row r="220" spans="2:14" s="59" customFormat="1">
      <c r="B220" s="258" t="s">
        <v>109</v>
      </c>
      <c r="C220" s="258" t="s">
        <v>80</v>
      </c>
      <c r="D220" s="258">
        <v>16</v>
      </c>
      <c r="E220" s="259" t="s">
        <v>170</v>
      </c>
      <c r="F220" s="260"/>
      <c r="G220" s="539"/>
      <c r="H220" s="557">
        <f>SUM(H221,H226,H227,H228:H229)</f>
        <v>0</v>
      </c>
      <c r="I220" s="557">
        <f>SUM(I221,I226,I227,I228:I229)</f>
        <v>0</v>
      </c>
      <c r="K220" s="254"/>
      <c r="L220" s="514">
        <f>SUM(L221,L226,L227,L228,L229)</f>
        <v>0</v>
      </c>
      <c r="N220" s="237"/>
    </row>
    <row r="221" spans="2:14">
      <c r="B221" s="262"/>
      <c r="C221" s="262"/>
      <c r="D221" s="262">
        <v>16.100000000000001</v>
      </c>
      <c r="E221" s="283" t="s">
        <v>247</v>
      </c>
      <c r="F221" s="286"/>
      <c r="G221" s="541"/>
      <c r="H221" s="288">
        <f>SUM(H222,H225)</f>
        <v>0</v>
      </c>
      <c r="I221" s="268">
        <f>SUM(I222,I225)</f>
        <v>0</v>
      </c>
      <c r="J221"/>
      <c r="K221" s="247"/>
      <c r="L221" s="246">
        <f>SUM(L222,L225)</f>
        <v>0</v>
      </c>
      <c r="N221" s="237"/>
    </row>
    <row r="222" spans="2:14">
      <c r="B222" s="262"/>
      <c r="C222" s="262"/>
      <c r="D222" s="263" t="s">
        <v>438</v>
      </c>
      <c r="E222" s="248" t="s">
        <v>248</v>
      </c>
      <c r="F222" s="286"/>
      <c r="G222" s="541"/>
      <c r="H222" s="288">
        <f>SUM(H223:H224)</f>
        <v>0</v>
      </c>
      <c r="I222" s="268">
        <f>SUM(I223:I224)</f>
        <v>0</v>
      </c>
      <c r="J222"/>
      <c r="K222" s="247"/>
      <c r="L222" s="246">
        <f>SUM(L223:L224)</f>
        <v>0</v>
      </c>
      <c r="N222" s="237"/>
    </row>
    <row r="223" spans="2:14" s="59" customFormat="1">
      <c r="B223" s="262"/>
      <c r="C223" s="262"/>
      <c r="D223" s="263" t="s">
        <v>439</v>
      </c>
      <c r="E223" s="290" t="s">
        <v>81</v>
      </c>
      <c r="F223" s="328"/>
      <c r="G223" s="541"/>
      <c r="H223" s="18"/>
      <c r="I223" s="20"/>
      <c r="K223" s="245">
        <v>0.25</v>
      </c>
      <c r="L223" s="288">
        <f>SUM(H223:I223)*K223</f>
        <v>0</v>
      </c>
      <c r="N223" s="237"/>
    </row>
    <row r="224" spans="2:14" s="59" customFormat="1">
      <c r="B224" s="262"/>
      <c r="C224" s="262"/>
      <c r="D224" s="263" t="s">
        <v>440</v>
      </c>
      <c r="E224" s="290" t="s">
        <v>82</v>
      </c>
      <c r="F224" s="328"/>
      <c r="G224" s="541"/>
      <c r="H224" s="20"/>
      <c r="I224" s="20"/>
      <c r="K224" s="245">
        <v>0.25</v>
      </c>
      <c r="L224" s="288">
        <f t="shared" ref="L224:L225" si="33">SUM(H224:I224)*K224</f>
        <v>0</v>
      </c>
      <c r="N224" s="237"/>
    </row>
    <row r="225" spans="2:14">
      <c r="B225" s="262"/>
      <c r="C225" s="262"/>
      <c r="D225" s="263" t="s">
        <v>441</v>
      </c>
      <c r="E225" s="248" t="s">
        <v>249</v>
      </c>
      <c r="F225" s="286"/>
      <c r="G225" s="541"/>
      <c r="H225" s="20"/>
      <c r="I225" s="20"/>
      <c r="J225"/>
      <c r="K225" s="245">
        <v>0.25</v>
      </c>
      <c r="L225" s="246">
        <f t="shared" si="33"/>
        <v>0</v>
      </c>
      <c r="N225" s="237"/>
    </row>
    <row r="226" spans="2:14">
      <c r="B226" s="262"/>
      <c r="C226" s="262"/>
      <c r="D226" s="262">
        <v>16.2</v>
      </c>
      <c r="E226" s="283" t="s">
        <v>250</v>
      </c>
      <c r="F226" s="286"/>
      <c r="G226" s="541"/>
      <c r="H226" s="20"/>
      <c r="I226" s="20"/>
      <c r="J226"/>
      <c r="K226" s="287"/>
      <c r="L226" s="246">
        <f>SUM(H226:I226)*K226</f>
        <v>0</v>
      </c>
      <c r="N226" s="237"/>
    </row>
    <row r="227" spans="2:14">
      <c r="B227" s="263"/>
      <c r="C227" s="263"/>
      <c r="D227" s="262">
        <v>16.3</v>
      </c>
      <c r="E227" s="283" t="s">
        <v>172</v>
      </c>
      <c r="F227" s="274"/>
      <c r="G227" s="541"/>
      <c r="H227" s="20"/>
      <c r="I227" s="20"/>
      <c r="J227"/>
      <c r="K227" s="287"/>
      <c r="L227" s="246">
        <f>SUM(H227:I227)*K227</f>
        <v>0</v>
      </c>
      <c r="N227" s="237"/>
    </row>
    <row r="228" spans="2:14">
      <c r="B228" s="263"/>
      <c r="C228" s="263"/>
      <c r="D228" s="262">
        <v>16.399999999999999</v>
      </c>
      <c r="E228" s="283" t="s">
        <v>173</v>
      </c>
      <c r="F228" s="286"/>
      <c r="G228" s="541"/>
      <c r="H228" s="566"/>
      <c r="I228" s="20"/>
      <c r="J228"/>
      <c r="K228" s="287"/>
      <c r="L228" s="246">
        <f t="shared" ref="L228:L229" si="34">SUM(H228:I228)*K228</f>
        <v>0</v>
      </c>
      <c r="N228" s="237"/>
    </row>
    <row r="229" spans="2:14">
      <c r="B229" s="322"/>
      <c r="C229" s="322"/>
      <c r="D229" s="329">
        <v>16.5</v>
      </c>
      <c r="E229" s="567" t="s">
        <v>457</v>
      </c>
      <c r="F229" s="324"/>
      <c r="G229" s="551"/>
      <c r="H229" s="551"/>
      <c r="I229" s="505"/>
      <c r="J229"/>
      <c r="K229" s="507"/>
      <c r="L229" s="249">
        <f t="shared" si="34"/>
        <v>0</v>
      </c>
      <c r="N229" s="237"/>
    </row>
    <row r="230" spans="2:14">
      <c r="B230" s="330" t="s">
        <v>109</v>
      </c>
      <c r="C230" s="330" t="s">
        <v>80</v>
      </c>
      <c r="D230" s="232">
        <v>17</v>
      </c>
      <c r="E230" s="331" t="s">
        <v>171</v>
      </c>
      <c r="F230" s="332"/>
      <c r="G230" s="538"/>
      <c r="H230" s="22"/>
      <c r="I230" s="22"/>
      <c r="J230"/>
      <c r="K230" s="508">
        <v>0.25</v>
      </c>
      <c r="L230" s="510">
        <f>SUM(H230:I230)*K230</f>
        <v>0</v>
      </c>
      <c r="N230" s="237"/>
    </row>
    <row r="231" spans="2:14">
      <c r="B231" s="330" t="s">
        <v>109</v>
      </c>
      <c r="C231" s="330" t="s">
        <v>80</v>
      </c>
      <c r="D231" s="232">
        <v>18</v>
      </c>
      <c r="E231" s="331" t="s">
        <v>518</v>
      </c>
      <c r="F231" s="332"/>
      <c r="G231" s="538"/>
      <c r="H231" s="22"/>
      <c r="I231" s="22"/>
      <c r="J231"/>
      <c r="K231" s="508">
        <v>0.25</v>
      </c>
      <c r="L231" s="510">
        <f>SUM(H231:I231)*K231</f>
        <v>0</v>
      </c>
      <c r="N231" s="237"/>
    </row>
    <row r="232" spans="2:14" s="59" customFormat="1">
      <c r="B232" s="232" t="s">
        <v>109</v>
      </c>
      <c r="C232" s="232" t="s">
        <v>80</v>
      </c>
      <c r="D232" s="232">
        <v>19</v>
      </c>
      <c r="E232" s="233" t="s">
        <v>251</v>
      </c>
      <c r="F232" s="333"/>
      <c r="G232" s="539"/>
      <c r="H232" s="506"/>
      <c r="I232" s="506"/>
      <c r="K232" s="509">
        <v>0.25</v>
      </c>
      <c r="L232" s="511">
        <f>SUM(H232:I232)*K232</f>
        <v>0</v>
      </c>
      <c r="N232" s="237"/>
    </row>
    <row r="233" spans="2:14">
      <c r="B233" s="308" t="s">
        <v>108</v>
      </c>
      <c r="C233" s="334" t="s">
        <v>80</v>
      </c>
      <c r="D233" s="232">
        <v>20</v>
      </c>
      <c r="E233" s="335" t="s">
        <v>294</v>
      </c>
      <c r="F233" s="333"/>
      <c r="G233" s="546"/>
      <c r="H233" s="506"/>
      <c r="I233" s="506"/>
      <c r="J233" s="212" t="str">
        <f t="shared" ref="J233" si="35">IF(AND(LEFT(E233,4)="For ",H233&gt;0,G233=""),"Error: No input in cell "&amp;ADDRESS(ROW(G233),COLUMN(G233),4),"")</f>
        <v/>
      </c>
      <c r="K233" s="509">
        <v>0</v>
      </c>
      <c r="L233" s="511">
        <f>SUM(H233:I233)*K233</f>
        <v>0</v>
      </c>
      <c r="N233"/>
    </row>
    <row r="234" spans="2:14" s="59" customFormat="1">
      <c r="B234" s="232" t="s">
        <v>147</v>
      </c>
      <c r="C234" s="232" t="s">
        <v>80</v>
      </c>
      <c r="D234" s="232">
        <v>21</v>
      </c>
      <c r="E234" s="233" t="s">
        <v>252</v>
      </c>
      <c r="F234" s="332"/>
      <c r="G234" s="538"/>
      <c r="H234" s="22"/>
      <c r="I234" s="22"/>
      <c r="K234" s="509">
        <v>0</v>
      </c>
      <c r="L234" s="511">
        <f t="shared" ref="L234:L244" si="36">SUM(H234:I234)*K234</f>
        <v>0</v>
      </c>
      <c r="N234" s="237"/>
    </row>
    <row r="235" spans="2:14">
      <c r="B235" s="232" t="s">
        <v>108</v>
      </c>
      <c r="C235" s="232" t="s">
        <v>80</v>
      </c>
      <c r="D235" s="232">
        <v>22</v>
      </c>
      <c r="E235" s="233" t="s">
        <v>184</v>
      </c>
      <c r="F235" s="333"/>
      <c r="G235" s="538"/>
      <c r="H235" s="22"/>
      <c r="I235" s="22"/>
      <c r="J235"/>
      <c r="K235" s="509">
        <v>0</v>
      </c>
      <c r="L235" s="511">
        <f t="shared" si="36"/>
        <v>0</v>
      </c>
      <c r="N235" s="237"/>
    </row>
    <row r="236" spans="2:14">
      <c r="B236" s="232" t="s">
        <v>108</v>
      </c>
      <c r="C236" s="232" t="s">
        <v>80</v>
      </c>
      <c r="D236" s="232">
        <v>23</v>
      </c>
      <c r="E236" s="233" t="s">
        <v>253</v>
      </c>
      <c r="F236" s="333"/>
      <c r="G236" s="538"/>
      <c r="H236" s="22"/>
      <c r="I236" s="22"/>
      <c r="J236"/>
      <c r="K236" s="509">
        <v>0</v>
      </c>
      <c r="L236" s="511">
        <f t="shared" si="36"/>
        <v>0</v>
      </c>
      <c r="N236" s="237"/>
    </row>
    <row r="237" spans="2:14" s="59" customFormat="1">
      <c r="B237" s="232" t="s">
        <v>108</v>
      </c>
      <c r="C237" s="232" t="s">
        <v>80</v>
      </c>
      <c r="D237" s="232">
        <v>24</v>
      </c>
      <c r="E237" s="233" t="s">
        <v>254</v>
      </c>
      <c r="F237" s="333"/>
      <c r="G237" s="538"/>
      <c r="H237" s="22"/>
      <c r="I237" s="22"/>
      <c r="K237" s="509">
        <v>0.35</v>
      </c>
      <c r="L237" s="511">
        <f t="shared" si="36"/>
        <v>0</v>
      </c>
      <c r="N237" s="237"/>
    </row>
    <row r="238" spans="2:14" s="59" customFormat="1">
      <c r="B238" s="232" t="s">
        <v>108</v>
      </c>
      <c r="C238" s="232" t="s">
        <v>80</v>
      </c>
      <c r="D238" s="232">
        <v>25</v>
      </c>
      <c r="E238" s="233" t="s">
        <v>304</v>
      </c>
      <c r="F238" s="333"/>
      <c r="G238" s="538"/>
      <c r="H238" s="22"/>
      <c r="I238" s="22"/>
      <c r="K238" s="509">
        <v>0</v>
      </c>
      <c r="L238" s="511">
        <f t="shared" si="36"/>
        <v>0</v>
      </c>
      <c r="N238" s="237"/>
    </row>
    <row r="239" spans="2:14">
      <c r="B239" s="232" t="s">
        <v>108</v>
      </c>
      <c r="C239" s="232" t="s">
        <v>80</v>
      </c>
      <c r="D239" s="232">
        <v>26</v>
      </c>
      <c r="E239" s="336" t="s">
        <v>305</v>
      </c>
      <c r="F239" s="333"/>
      <c r="G239" s="538"/>
      <c r="H239" s="22"/>
      <c r="I239" s="22"/>
      <c r="J239"/>
      <c r="K239" s="509">
        <v>0</v>
      </c>
      <c r="L239" s="511">
        <f t="shared" si="36"/>
        <v>0</v>
      </c>
      <c r="N239" s="237"/>
    </row>
    <row r="240" spans="2:14">
      <c r="B240" s="232" t="s">
        <v>108</v>
      </c>
      <c r="C240" s="232" t="s">
        <v>80</v>
      </c>
      <c r="D240" s="232">
        <v>27</v>
      </c>
      <c r="E240" s="336" t="s">
        <v>255</v>
      </c>
      <c r="F240" s="333"/>
      <c r="G240" s="538"/>
      <c r="H240" s="22"/>
      <c r="I240" s="22"/>
      <c r="J240"/>
      <c r="K240" s="512"/>
      <c r="L240" s="511">
        <f t="shared" si="36"/>
        <v>0</v>
      </c>
      <c r="N240" s="237"/>
    </row>
    <row r="241" spans="2:14">
      <c r="B241" s="232" t="s">
        <v>108</v>
      </c>
      <c r="C241" s="232" t="s">
        <v>80</v>
      </c>
      <c r="D241" s="232">
        <v>28</v>
      </c>
      <c r="E241" s="233" t="s">
        <v>256</v>
      </c>
      <c r="F241" s="333"/>
      <c r="G241" s="538"/>
      <c r="H241" s="22"/>
      <c r="I241" s="22"/>
      <c r="J241"/>
      <c r="K241" s="509">
        <v>0.35</v>
      </c>
      <c r="L241" s="511">
        <f>SUM(H241:I241)*K241</f>
        <v>0</v>
      </c>
      <c r="N241" s="237"/>
    </row>
    <row r="242" spans="2:14">
      <c r="B242" s="232" t="s">
        <v>108</v>
      </c>
      <c r="C242" s="232" t="s">
        <v>80</v>
      </c>
      <c r="D242" s="232">
        <v>29</v>
      </c>
      <c r="E242" s="568" t="s">
        <v>456</v>
      </c>
      <c r="F242" s="333"/>
      <c r="G242" s="538"/>
      <c r="H242" s="538"/>
      <c r="I242" s="22"/>
      <c r="J242"/>
      <c r="K242" s="512"/>
      <c r="L242" s="511">
        <f t="shared" si="36"/>
        <v>0</v>
      </c>
      <c r="N242" s="237"/>
    </row>
    <row r="243" spans="2:14">
      <c r="B243" s="232" t="s">
        <v>108</v>
      </c>
      <c r="C243" s="232" t="s">
        <v>80</v>
      </c>
      <c r="D243" s="232">
        <v>30</v>
      </c>
      <c r="E243" s="568" t="s">
        <v>257</v>
      </c>
      <c r="F243" s="333"/>
      <c r="G243" s="538"/>
      <c r="H243" s="22"/>
      <c r="I243" s="22"/>
      <c r="J243"/>
      <c r="K243" s="512"/>
      <c r="L243" s="511">
        <f t="shared" si="36"/>
        <v>0</v>
      </c>
      <c r="N243" s="237"/>
    </row>
    <row r="244" spans="2:14">
      <c r="B244" s="232" t="s">
        <v>108</v>
      </c>
      <c r="C244" s="232" t="s">
        <v>80</v>
      </c>
      <c r="D244" s="232">
        <v>31</v>
      </c>
      <c r="E244" s="568" t="s">
        <v>442</v>
      </c>
      <c r="F244" s="333"/>
      <c r="G244" s="538"/>
      <c r="H244" s="538"/>
      <c r="I244" s="22"/>
      <c r="J244"/>
      <c r="K244" s="512"/>
      <c r="L244" s="511">
        <f t="shared" si="36"/>
        <v>0</v>
      </c>
    </row>
  </sheetData>
  <sheetProtection algorithmName="SHA-512" hashValue="O9yfSdQzs3L3iSL25lf9FlpI3sp+9ohnNTg2F353OAEEjEzFl6xWkyRqapwNGxfYqge++AQOvzQzkm2ducHgwA==" saltValue="PfTlhJ68DpxHFGmgw9vVDw==" spinCount="100000" sheet="1" formatCells="0" formatColumns="0" insertHyperlinks="0" sort="0" autoFilter="0" pivotTables="0"/>
  <protectedRanges>
    <protectedRange algorithmName="SHA-512" hashValue="KeExXEXI5+cKWj/QLELGFlKDg+2S/m/U9ncqKSfsa4v8Yy7p3OjN+VH4dHL/B48w4y2vTqaxgYT9OYX/ZgNsuQ==" saltValue="nlMSuJhFKwgHrN2FtXe2FA==" spinCount="100000" sqref="F9" name="Scenario"/>
  </protectedRanges>
  <dataConsolidate/>
  <mergeCells count="3">
    <mergeCell ref="B16:C17"/>
    <mergeCell ref="H16:I16"/>
    <mergeCell ref="K16:L16"/>
  </mergeCells>
  <conditionalFormatting sqref="L15">
    <cfRule type="cellIs" dxfId="16" priority="16" operator="equal">
      <formula>"CHECK"</formula>
    </cfRule>
  </conditionalFormatting>
  <conditionalFormatting sqref="J39:J45">
    <cfRule type="notContainsBlanks" dxfId="15" priority="15">
      <formula>LEN(TRIM(J39))&gt;0</formula>
    </cfRule>
  </conditionalFormatting>
  <conditionalFormatting sqref="J47:J54">
    <cfRule type="notContainsBlanks" dxfId="14" priority="14">
      <formula>LEN(TRIM(J47))&gt;0</formula>
    </cfRule>
  </conditionalFormatting>
  <conditionalFormatting sqref="J56:J63">
    <cfRule type="notContainsBlanks" dxfId="13" priority="13">
      <formula>LEN(TRIM(J56))&gt;0</formula>
    </cfRule>
  </conditionalFormatting>
  <conditionalFormatting sqref="J65:J72">
    <cfRule type="notContainsBlanks" dxfId="12" priority="12">
      <formula>LEN(TRIM(J65))&gt;0</formula>
    </cfRule>
  </conditionalFormatting>
  <conditionalFormatting sqref="J92:J99">
    <cfRule type="notContainsBlanks" dxfId="11" priority="11">
      <formula>LEN(TRIM(J92))&gt;0</formula>
    </cfRule>
  </conditionalFormatting>
  <conditionalFormatting sqref="H15">
    <cfRule type="cellIs" dxfId="10" priority="7" operator="equal">
      <formula>"CHECK"</formula>
    </cfRule>
  </conditionalFormatting>
  <conditionalFormatting sqref="J233">
    <cfRule type="notContainsBlanks" dxfId="9" priority="6">
      <formula>LEN(TRIM(J233))&gt;0</formula>
    </cfRule>
  </conditionalFormatting>
  <conditionalFormatting sqref="J170:J176">
    <cfRule type="notContainsBlanks" dxfId="8" priority="2">
      <formula>LEN(TRIM(J170))&gt;0</formula>
    </cfRule>
  </conditionalFormatting>
  <conditionalFormatting sqref="J162:J168">
    <cfRule type="notContainsBlanks" dxfId="7" priority="3">
      <formula>LEN(TRIM(J162))&gt;0</formula>
    </cfRule>
  </conditionalFormatting>
  <conditionalFormatting sqref="J203:J209">
    <cfRule type="notContainsBlanks" dxfId="6" priority="1">
      <formula>LEN(TRIM(J203))&gt;0</formula>
    </cfRule>
  </conditionalFormatting>
  <dataValidations disablePrompts="1" count="1">
    <dataValidation allowBlank="1" showInputMessage="1" showErrorMessage="1" prompt="Please note that these are the initial proposed risk factors from the partial calibration of the Non-Life QIS1 exercise" sqref="K17" xr:uid="{00000000-0002-0000-0600-000000000000}"/>
  </dataValidations>
  <pageMargins left="0.7" right="0.7" top="0.75" bottom="0.75" header="0.3" footer="0.3"/>
  <pageSetup paperSize="9" scale="42" fitToHeight="0" orientation="portrait" horizontalDpi="300" verticalDpi="30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tabColor theme="5" tint="0.39997558519241921"/>
    <pageSetUpPr fitToPage="1"/>
  </sheetPr>
  <dimension ref="A1:K329"/>
  <sheetViews>
    <sheetView showGridLines="0" topLeftCell="A16" zoomScale="90" zoomScaleNormal="90" workbookViewId="0">
      <selection activeCell="F34" sqref="F34"/>
    </sheetView>
  </sheetViews>
  <sheetFormatPr defaultColWidth="9.140625" defaultRowHeight="15"/>
  <cols>
    <col min="1" max="1" width="2.7109375" customWidth="1"/>
    <col min="2" max="2" width="30.5703125" customWidth="1"/>
    <col min="3" max="3" width="24" customWidth="1"/>
    <col min="4" max="4" width="24" style="339" customWidth="1"/>
    <col min="5" max="6" width="24" customWidth="1"/>
    <col min="7" max="7" width="2.7109375" customWidth="1"/>
    <col min="8" max="11" width="24" customWidth="1"/>
    <col min="12" max="88" width="17.5703125" customWidth="1"/>
  </cols>
  <sheetData>
    <row r="1" spans="1:6">
      <c r="A1" s="10"/>
      <c r="D1"/>
      <c r="F1" s="38"/>
    </row>
    <row r="2" spans="1:6" ht="15.75">
      <c r="B2" s="337"/>
      <c r="C2" s="337"/>
      <c r="D2" s="337"/>
      <c r="E2" s="337"/>
      <c r="F2" s="338"/>
    </row>
    <row r="3" spans="1:6" ht="15.75">
      <c r="B3" s="337"/>
      <c r="C3" s="337"/>
      <c r="D3" s="337"/>
      <c r="E3" s="337"/>
      <c r="F3" s="338"/>
    </row>
    <row r="4" spans="1:6" ht="15.75">
      <c r="B4" s="337"/>
      <c r="C4" s="337"/>
      <c r="D4" s="337"/>
      <c r="E4" s="337"/>
      <c r="F4" s="338"/>
    </row>
    <row r="5" spans="1:6" ht="26.25">
      <c r="B5" s="55" t="str">
        <f>Cover!$B$5 &amp; " - "&amp;Cover!$H$3</f>
        <v>Non-life Template for the Risk-based Capital 2 Framework - 2020 v2</v>
      </c>
      <c r="D5"/>
      <c r="F5" s="38"/>
    </row>
    <row r="6" spans="1:6" ht="15.75">
      <c r="B6" s="56" t="str">
        <f>Cover!$B$6</f>
        <v>Insurance Commission</v>
      </c>
      <c r="D6"/>
      <c r="F6" s="38"/>
    </row>
    <row r="7" spans="1:6" ht="15.75">
      <c r="B7" s="127" t="str">
        <f>Cover!D31</f>
        <v>Calculation of Insurance Risk Charges and Summary of Insurance Liabilities</v>
      </c>
      <c r="D7"/>
      <c r="F7" s="38"/>
    </row>
    <row r="8" spans="1:6">
      <c r="D8" s="212"/>
      <c r="F8" s="38"/>
    </row>
    <row r="9" spans="1:6">
      <c r="B9" s="59" t="s">
        <v>155</v>
      </c>
      <c r="C9" s="649">
        <f>Cover!$C$9</f>
        <v>0</v>
      </c>
      <c r="D9" s="650"/>
      <c r="F9" s="38"/>
    </row>
    <row r="10" spans="1:6">
      <c r="B10" s="59" t="s">
        <v>156</v>
      </c>
      <c r="C10" s="651">
        <f>Cover!$C$10</f>
        <v>0</v>
      </c>
      <c r="D10" s="652"/>
      <c r="F10" s="38"/>
    </row>
    <row r="11" spans="1:6">
      <c r="D11" s="212"/>
      <c r="F11" s="38"/>
    </row>
    <row r="12" spans="1:6">
      <c r="A12" s="11"/>
      <c r="B12" s="180" t="s">
        <v>103</v>
      </c>
      <c r="C12" s="11"/>
    </row>
    <row r="13" spans="1:6">
      <c r="A13" s="11"/>
      <c r="B13" s="181" t="s">
        <v>104</v>
      </c>
      <c r="C13" s="340"/>
    </row>
    <row r="14" spans="1:6">
      <c r="A14" s="11"/>
      <c r="B14" s="183" t="s">
        <v>151</v>
      </c>
      <c r="C14" s="341"/>
      <c r="F14" s="212"/>
    </row>
    <row r="15" spans="1:6">
      <c r="D15"/>
    </row>
    <row r="16" spans="1:6" ht="14.45" customHeight="1">
      <c r="B16" s="180" t="s">
        <v>367</v>
      </c>
    </row>
    <row r="17" spans="1:11" ht="15" customHeight="1">
      <c r="A17" s="11"/>
      <c r="B17" s="11"/>
      <c r="C17" s="667" t="s">
        <v>69</v>
      </c>
      <c r="D17" s="668"/>
      <c r="E17" s="669" t="s">
        <v>267</v>
      </c>
      <c r="F17" s="670"/>
    </row>
    <row r="18" spans="1:11" s="132" customFormat="1">
      <c r="A18" s="11"/>
      <c r="B18" s="342" t="s">
        <v>1</v>
      </c>
      <c r="C18" s="343" t="s">
        <v>447</v>
      </c>
      <c r="D18" s="344" t="s">
        <v>269</v>
      </c>
      <c r="E18" s="343" t="s">
        <v>447</v>
      </c>
      <c r="F18" s="344" t="s">
        <v>269</v>
      </c>
      <c r="G18"/>
      <c r="H18"/>
      <c r="I18"/>
      <c r="J18"/>
      <c r="K18"/>
    </row>
    <row r="19" spans="1:11" ht="15" customHeight="1">
      <c r="A19" s="11"/>
      <c r="B19" s="345"/>
      <c r="C19" s="346">
        <f>+SUM(C20:C30)</f>
        <v>0</v>
      </c>
      <c r="D19" s="347">
        <f>+SUM(D20:D30)</f>
        <v>0</v>
      </c>
      <c r="E19" s="346">
        <f>+SUM(E20:E30)</f>
        <v>0</v>
      </c>
      <c r="F19" s="347">
        <f>+SUM(F20:F30)</f>
        <v>0</v>
      </c>
    </row>
    <row r="20" spans="1:11">
      <c r="A20" s="11"/>
      <c r="B20" s="348" t="s">
        <v>208</v>
      </c>
      <c r="C20" s="46"/>
      <c r="D20" s="45"/>
      <c r="E20" s="46"/>
      <c r="F20" s="45"/>
    </row>
    <row r="21" spans="1:11">
      <c r="A21" s="11"/>
      <c r="B21" s="349" t="s">
        <v>192</v>
      </c>
      <c r="C21" s="41"/>
      <c r="D21" s="43"/>
      <c r="E21" s="41"/>
      <c r="F21" s="43"/>
    </row>
    <row r="22" spans="1:11">
      <c r="A22" s="11"/>
      <c r="B22" s="349" t="s">
        <v>193</v>
      </c>
      <c r="C22" s="41"/>
      <c r="D22" s="43"/>
      <c r="E22" s="41"/>
      <c r="F22" s="43"/>
    </row>
    <row r="23" spans="1:11">
      <c r="A23" s="11"/>
      <c r="B23" s="349" t="s">
        <v>194</v>
      </c>
      <c r="C23" s="41"/>
      <c r="D23" s="43"/>
      <c r="E23" s="41"/>
      <c r="F23" s="43"/>
    </row>
    <row r="24" spans="1:11">
      <c r="A24" s="11"/>
      <c r="B24" s="349" t="s">
        <v>209</v>
      </c>
      <c r="C24" s="41"/>
      <c r="D24" s="43"/>
      <c r="E24" s="41"/>
      <c r="F24" s="43"/>
    </row>
    <row r="25" spans="1:11">
      <c r="A25" s="11"/>
      <c r="B25" s="349" t="s">
        <v>195</v>
      </c>
      <c r="C25" s="41"/>
      <c r="D25" s="43"/>
      <c r="E25" s="41"/>
      <c r="F25" s="43"/>
    </row>
    <row r="26" spans="1:11">
      <c r="A26" s="11"/>
      <c r="B26" s="349" t="s">
        <v>196</v>
      </c>
      <c r="C26" s="41"/>
      <c r="D26" s="43"/>
      <c r="E26" s="41"/>
      <c r="F26" s="43"/>
    </row>
    <row r="27" spans="1:11">
      <c r="A27" s="11"/>
      <c r="B27" s="349" t="s">
        <v>3</v>
      </c>
      <c r="C27" s="41"/>
      <c r="D27" s="43"/>
      <c r="E27" s="41"/>
      <c r="F27" s="43"/>
    </row>
    <row r="28" spans="1:11">
      <c r="A28" s="11"/>
      <c r="B28" s="349" t="s">
        <v>270</v>
      </c>
      <c r="C28" s="41"/>
      <c r="D28" s="43"/>
      <c r="E28" s="41"/>
      <c r="F28" s="43"/>
    </row>
    <row r="29" spans="1:11">
      <c r="A29" s="11"/>
      <c r="B29" s="349" t="s">
        <v>2</v>
      </c>
      <c r="C29" s="41"/>
      <c r="D29" s="43"/>
      <c r="E29" s="41"/>
      <c r="F29" s="43"/>
    </row>
    <row r="30" spans="1:11">
      <c r="A30" s="11"/>
      <c r="B30" s="350" t="s">
        <v>16</v>
      </c>
      <c r="C30" s="42"/>
      <c r="D30" s="44"/>
      <c r="E30" s="42"/>
      <c r="F30" s="44"/>
    </row>
    <row r="31" spans="1:11">
      <c r="A31" s="11"/>
      <c r="B31" s="11"/>
      <c r="C31" s="11"/>
      <c r="D31"/>
    </row>
    <row r="32" spans="1:11" ht="14.45" customHeight="1">
      <c r="B32" s="180" t="s">
        <v>368</v>
      </c>
    </row>
    <row r="33" spans="1:11" ht="14.45" customHeight="1">
      <c r="B33" s="180"/>
    </row>
    <row r="34" spans="1:11" ht="14.45" customHeight="1">
      <c r="B34" s="59" t="s">
        <v>380</v>
      </c>
      <c r="C34" s="487"/>
      <c r="D34" s="221" t="str">
        <f>IF(C34=0,"CHECK","")</f>
        <v>CHECK</v>
      </c>
      <c r="E34" s="60" t="str">
        <f>IF(D34="CHECK","Please enter Net UPR","")</f>
        <v>Please enter Net UPR</v>
      </c>
    </row>
    <row r="35" spans="1:11" ht="14.45" customHeight="1">
      <c r="B35" s="180"/>
      <c r="H35" s="665" t="s">
        <v>366</v>
      </c>
      <c r="I35" s="665"/>
      <c r="J35" s="665"/>
      <c r="K35" s="665"/>
    </row>
    <row r="36" spans="1:11" ht="15" customHeight="1">
      <c r="A36" s="11"/>
      <c r="B36" s="11"/>
      <c r="C36" s="667" t="s">
        <v>74</v>
      </c>
      <c r="D36" s="668"/>
      <c r="E36" s="669" t="s">
        <v>265</v>
      </c>
      <c r="F36" s="670"/>
      <c r="H36" s="664" t="str">
        <f>C36</f>
        <v>Net Claim Liability</v>
      </c>
      <c r="I36" s="664"/>
      <c r="J36" s="666" t="str">
        <f>E36</f>
        <v>Net Unexpired Risk Reserve</v>
      </c>
      <c r="K36" s="666"/>
    </row>
    <row r="37" spans="1:11" s="132" customFormat="1" ht="30">
      <c r="A37" s="11"/>
      <c r="B37" s="351" t="s">
        <v>1</v>
      </c>
      <c r="C37" s="352" t="s">
        <v>273</v>
      </c>
      <c r="D37" s="353" t="s">
        <v>269</v>
      </c>
      <c r="E37" s="352" t="s">
        <v>273</v>
      </c>
      <c r="F37" s="353" t="s">
        <v>269</v>
      </c>
      <c r="G37"/>
      <c r="H37" s="354" t="s">
        <v>77</v>
      </c>
      <c r="I37" s="354" t="s">
        <v>369</v>
      </c>
      <c r="J37" s="354" t="s">
        <v>77</v>
      </c>
      <c r="K37" s="354" t="s">
        <v>370</v>
      </c>
    </row>
    <row r="38" spans="1:11" ht="15" customHeight="1">
      <c r="A38" s="11"/>
      <c r="B38" s="345"/>
      <c r="C38" s="347">
        <f>+SUM(C39:C49)</f>
        <v>0</v>
      </c>
      <c r="D38" s="347">
        <f>+SUM(D39:D49)</f>
        <v>0</v>
      </c>
      <c r="E38" s="347">
        <f>+SUM(E39:E49)</f>
        <v>0</v>
      </c>
      <c r="F38" s="347">
        <f>+SUM(F39:F49)</f>
        <v>0</v>
      </c>
      <c r="H38" s="355"/>
      <c r="I38" s="356">
        <f>SUM(I39:I49)</f>
        <v>0</v>
      </c>
      <c r="J38" s="355"/>
      <c r="K38" s="356">
        <f>IF(SUM(IF(SUM(F39:F49)=0,SUM(E39:E49),SUM(F39:F49)),K39:K49)&gt;=C34,SUM(K39:K49),0)</f>
        <v>0</v>
      </c>
    </row>
    <row r="39" spans="1:11">
      <c r="A39" s="11"/>
      <c r="B39" s="348" t="str">
        <f>$B$20</f>
        <v>Fire and Allied Perils</v>
      </c>
      <c r="C39" s="45"/>
      <c r="D39" s="45"/>
      <c r="E39" s="45"/>
      <c r="F39" s="45"/>
      <c r="H39" s="358">
        <v>0.3</v>
      </c>
      <c r="I39" s="357">
        <f t="shared" ref="I39:I49" si="0">IF(D39="",C39,D39)*H39</f>
        <v>0</v>
      </c>
      <c r="J39" s="358">
        <v>0.3</v>
      </c>
      <c r="K39" s="359">
        <f t="shared" ref="K39:K48" si="1">IF(F39="",E39,F39)*J39</f>
        <v>0</v>
      </c>
    </row>
    <row r="40" spans="1:11">
      <c r="A40" s="11"/>
      <c r="B40" s="349" t="str">
        <f>$B$21</f>
        <v>Marine Cargo</v>
      </c>
      <c r="C40" s="43"/>
      <c r="D40" s="43"/>
      <c r="E40" s="43"/>
      <c r="F40" s="43"/>
      <c r="H40" s="358">
        <v>0.3</v>
      </c>
      <c r="I40" s="357">
        <f t="shared" si="0"/>
        <v>0</v>
      </c>
      <c r="J40" s="358">
        <v>0.5</v>
      </c>
      <c r="K40" s="359">
        <f t="shared" si="1"/>
        <v>0</v>
      </c>
    </row>
    <row r="41" spans="1:11">
      <c r="A41" s="11"/>
      <c r="B41" s="349" t="str">
        <f>$B$22</f>
        <v>Marine Hull</v>
      </c>
      <c r="C41" s="43"/>
      <c r="D41" s="43"/>
      <c r="E41" s="43"/>
      <c r="F41" s="43"/>
      <c r="H41" s="358">
        <v>0.3</v>
      </c>
      <c r="I41" s="357">
        <f t="shared" si="0"/>
        <v>0</v>
      </c>
      <c r="J41" s="358">
        <v>0.5</v>
      </c>
      <c r="K41" s="359">
        <f t="shared" si="1"/>
        <v>0</v>
      </c>
    </row>
    <row r="42" spans="1:11">
      <c r="A42" s="11"/>
      <c r="B42" s="349" t="str">
        <f>$B$23</f>
        <v>Aviation</v>
      </c>
      <c r="C42" s="43"/>
      <c r="D42" s="43"/>
      <c r="E42" s="43"/>
      <c r="F42" s="43"/>
      <c r="H42" s="358">
        <v>0.3</v>
      </c>
      <c r="I42" s="357">
        <f t="shared" si="0"/>
        <v>0</v>
      </c>
      <c r="J42" s="358">
        <v>0.5</v>
      </c>
      <c r="K42" s="359">
        <f t="shared" si="1"/>
        <v>0</v>
      </c>
    </row>
    <row r="43" spans="1:11">
      <c r="A43" s="11"/>
      <c r="B43" s="349" t="str">
        <f>$B$24</f>
        <v>Bonds/Suretyship</v>
      </c>
      <c r="C43" s="43"/>
      <c r="D43" s="43"/>
      <c r="E43" s="43"/>
      <c r="F43" s="43"/>
      <c r="H43" s="358">
        <v>0.3</v>
      </c>
      <c r="I43" s="357">
        <f t="shared" si="0"/>
        <v>0</v>
      </c>
      <c r="J43" s="358">
        <v>0.45</v>
      </c>
      <c r="K43" s="359">
        <f t="shared" si="1"/>
        <v>0</v>
      </c>
    </row>
    <row r="44" spans="1:11">
      <c r="A44" s="11"/>
      <c r="B44" s="349" t="str">
        <f>$B$25</f>
        <v>Motor CMVL</v>
      </c>
      <c r="C44" s="43"/>
      <c r="D44" s="43"/>
      <c r="E44" s="43"/>
      <c r="F44" s="43"/>
      <c r="H44" s="358">
        <v>0.25</v>
      </c>
      <c r="I44" s="357">
        <f t="shared" si="0"/>
        <v>0</v>
      </c>
      <c r="J44" s="358">
        <v>0.45</v>
      </c>
      <c r="K44" s="359">
        <f t="shared" si="1"/>
        <v>0</v>
      </c>
    </row>
    <row r="45" spans="1:11">
      <c r="A45" s="11"/>
      <c r="B45" s="349" t="str">
        <f>$B$26</f>
        <v>Motor OD (Other than CMVL)</v>
      </c>
      <c r="C45" s="43"/>
      <c r="D45" s="43"/>
      <c r="E45" s="43"/>
      <c r="F45" s="43"/>
      <c r="H45" s="358">
        <v>0.25</v>
      </c>
      <c r="I45" s="357">
        <f t="shared" si="0"/>
        <v>0</v>
      </c>
      <c r="J45" s="358">
        <v>0.45</v>
      </c>
      <c r="K45" s="359">
        <f t="shared" si="1"/>
        <v>0</v>
      </c>
    </row>
    <row r="46" spans="1:11">
      <c r="A46" s="11"/>
      <c r="B46" s="349" t="str">
        <f>$B$27</f>
        <v>Personal Accident</v>
      </c>
      <c r="C46" s="43"/>
      <c r="D46" s="43"/>
      <c r="E46" s="43"/>
      <c r="F46" s="43"/>
      <c r="H46" s="358">
        <v>0.35</v>
      </c>
      <c r="I46" s="357">
        <f t="shared" si="0"/>
        <v>0</v>
      </c>
      <c r="J46" s="358">
        <v>0.3</v>
      </c>
      <c r="K46" s="359">
        <f t="shared" si="1"/>
        <v>0</v>
      </c>
    </row>
    <row r="47" spans="1:11">
      <c r="A47" s="11"/>
      <c r="B47" s="349" t="str">
        <f>$B$28</f>
        <v>Medical and Health</v>
      </c>
      <c r="C47" s="43"/>
      <c r="D47" s="43"/>
      <c r="E47" s="43"/>
      <c r="F47" s="43"/>
      <c r="H47" s="358">
        <v>0.35</v>
      </c>
      <c r="I47" s="357">
        <f t="shared" si="0"/>
        <v>0</v>
      </c>
      <c r="J47" s="358">
        <v>0.3</v>
      </c>
      <c r="K47" s="359">
        <f t="shared" si="1"/>
        <v>0</v>
      </c>
    </row>
    <row r="48" spans="1:11">
      <c r="A48" s="11"/>
      <c r="B48" s="349" t="str">
        <f>$B$29</f>
        <v>Engineering</v>
      </c>
      <c r="C48" s="43"/>
      <c r="D48" s="43"/>
      <c r="E48" s="43"/>
      <c r="F48" s="43"/>
      <c r="H48" s="358">
        <v>0.3</v>
      </c>
      <c r="I48" s="357">
        <f t="shared" si="0"/>
        <v>0</v>
      </c>
      <c r="J48" s="358">
        <v>0.3</v>
      </c>
      <c r="K48" s="359">
        <f t="shared" si="1"/>
        <v>0</v>
      </c>
    </row>
    <row r="49" spans="1:11">
      <c r="A49" s="11"/>
      <c r="B49" s="350" t="str">
        <f>$B$30</f>
        <v>Others</v>
      </c>
      <c r="C49" s="44"/>
      <c r="D49" s="44"/>
      <c r="E49" s="44"/>
      <c r="F49" s="44"/>
      <c r="H49" s="361">
        <v>0.3</v>
      </c>
      <c r="I49" s="360">
        <f t="shared" si="0"/>
        <v>0</v>
      </c>
      <c r="J49" s="361">
        <v>0.45</v>
      </c>
      <c r="K49" s="362">
        <f>IF(F49="",E49,F49)*J49</f>
        <v>0</v>
      </c>
    </row>
    <row r="50" spans="1:11">
      <c r="A50" s="11"/>
      <c r="B50" s="11"/>
      <c r="C50" s="221" t="str">
        <f>IF(C38=0,"CHECK","")</f>
        <v>CHECK</v>
      </c>
      <c r="D50"/>
      <c r="E50" s="221" t="str">
        <f>IF(E38=0,"CHECK","")</f>
        <v>CHECK</v>
      </c>
    </row>
    <row r="51" spans="1:11" ht="14.45" customHeight="1">
      <c r="A51" s="11"/>
      <c r="B51" s="11"/>
      <c r="C51" s="60" t="str">
        <f>IF(C50="CHECK","Please enter Net Claim Liability","")</f>
        <v>Please enter Net Claim Liability</v>
      </c>
      <c r="D51"/>
      <c r="E51" s="60" t="str">
        <f>IF(E50="CHECK","Please enter Net URR","")</f>
        <v>Please enter Net URR</v>
      </c>
    </row>
    <row r="52" spans="1:11">
      <c r="A52" s="11"/>
      <c r="B52" s="11"/>
      <c r="C52" s="11"/>
      <c r="D52"/>
    </row>
    <row r="53" spans="1:11">
      <c r="A53" s="11"/>
      <c r="B53" s="11"/>
      <c r="C53" s="11"/>
      <c r="D53"/>
    </row>
    <row r="54" spans="1:11">
      <c r="A54" s="11"/>
      <c r="B54" s="11"/>
      <c r="C54" s="11"/>
      <c r="D54"/>
    </row>
    <row r="55" spans="1:11">
      <c r="A55" s="11"/>
      <c r="B55" s="11"/>
      <c r="C55" s="11"/>
      <c r="D55"/>
    </row>
    <row r="56" spans="1:11">
      <c r="A56" s="11"/>
      <c r="B56" s="11"/>
      <c r="C56" s="11"/>
      <c r="D56"/>
    </row>
    <row r="57" spans="1:11">
      <c r="A57" s="11"/>
      <c r="B57" s="11"/>
      <c r="C57" s="11"/>
      <c r="D57"/>
    </row>
    <row r="58" spans="1:11">
      <c r="A58" s="11"/>
      <c r="B58" s="11"/>
      <c r="C58" s="11"/>
      <c r="D58"/>
    </row>
    <row r="59" spans="1:11">
      <c r="A59" s="11"/>
      <c r="B59" s="11"/>
      <c r="C59" s="11"/>
      <c r="D59"/>
    </row>
    <row r="60" spans="1:11">
      <c r="A60" s="11"/>
      <c r="B60" s="11"/>
      <c r="C60" s="11"/>
      <c r="D60"/>
    </row>
    <row r="61" spans="1:11">
      <c r="A61" s="11"/>
      <c r="B61" s="11"/>
      <c r="C61" s="11"/>
      <c r="D61"/>
    </row>
    <row r="62" spans="1:11">
      <c r="D62"/>
    </row>
    <row r="63" spans="1:11">
      <c r="A63" s="11"/>
    </row>
    <row r="64" spans="1:1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>
      <c r="A94" s="11"/>
    </row>
    <row r="95" spans="1:1">
      <c r="A95" s="11"/>
    </row>
    <row r="96" spans="1:1">
      <c r="A96" s="11"/>
    </row>
    <row r="97" spans="1:1">
      <c r="A97" s="11"/>
    </row>
    <row r="98" spans="1:1">
      <c r="A98" s="11"/>
    </row>
    <row r="99" spans="1:1">
      <c r="A99" s="11"/>
    </row>
    <row r="100" spans="1:1">
      <c r="A100" s="11"/>
    </row>
    <row r="101" spans="1:1">
      <c r="A101" s="11"/>
    </row>
    <row r="102" spans="1:1">
      <c r="A102" s="11"/>
    </row>
    <row r="103" spans="1:1">
      <c r="A103" s="11"/>
    </row>
    <row r="104" spans="1:1">
      <c r="A104" s="11"/>
    </row>
    <row r="105" spans="1:1">
      <c r="A105" s="11"/>
    </row>
    <row r="106" spans="1:1">
      <c r="A106" s="11"/>
    </row>
    <row r="107" spans="1:1">
      <c r="A107" s="11"/>
    </row>
    <row r="108" spans="1:1">
      <c r="A108" s="11"/>
    </row>
    <row r="109" spans="1:1">
      <c r="A109" s="11"/>
    </row>
    <row r="110" spans="1:1">
      <c r="A110" s="11"/>
    </row>
    <row r="111" spans="1:1">
      <c r="A111" s="11"/>
    </row>
    <row r="112" spans="1:1">
      <c r="A112" s="11"/>
    </row>
    <row r="113" spans="1:1">
      <c r="A113" s="11"/>
    </row>
    <row r="114" spans="1:1">
      <c r="A114" s="11"/>
    </row>
    <row r="115" spans="1:1">
      <c r="A115" s="11"/>
    </row>
    <row r="116" spans="1:1">
      <c r="A116" s="11"/>
    </row>
    <row r="117" spans="1:1">
      <c r="A117" s="11"/>
    </row>
    <row r="118" spans="1:1">
      <c r="A118" s="11"/>
    </row>
    <row r="119" spans="1:1">
      <c r="A119" s="11"/>
    </row>
    <row r="120" spans="1:1">
      <c r="A120" s="11"/>
    </row>
    <row r="121" spans="1:1">
      <c r="A121" s="11"/>
    </row>
    <row r="122" spans="1:1">
      <c r="A122" s="11"/>
    </row>
    <row r="123" spans="1:1">
      <c r="A123" s="11"/>
    </row>
    <row r="124" spans="1:1">
      <c r="A124" s="11"/>
    </row>
    <row r="125" spans="1:1">
      <c r="A125" s="11"/>
    </row>
    <row r="126" spans="1:1">
      <c r="A126" s="11"/>
    </row>
    <row r="127" spans="1:1">
      <c r="A127" s="11"/>
    </row>
    <row r="128" spans="1:1">
      <c r="A128" s="11"/>
    </row>
    <row r="129" spans="1:1">
      <c r="A129" s="11"/>
    </row>
    <row r="130" spans="1:1">
      <c r="A130" s="11"/>
    </row>
    <row r="131" spans="1:1">
      <c r="A131" s="11"/>
    </row>
    <row r="132" spans="1:1">
      <c r="A132" s="11"/>
    </row>
    <row r="133" spans="1:1">
      <c r="A133" s="11"/>
    </row>
    <row r="134" spans="1:1">
      <c r="A134" s="11"/>
    </row>
    <row r="135" spans="1:1">
      <c r="A135" s="11"/>
    </row>
    <row r="136" spans="1:1">
      <c r="A136" s="11"/>
    </row>
    <row r="137" spans="1:1">
      <c r="A137" s="11"/>
    </row>
    <row r="138" spans="1:1">
      <c r="A138" s="11"/>
    </row>
    <row r="139" spans="1:1">
      <c r="A139" s="11"/>
    </row>
    <row r="140" spans="1:1">
      <c r="A140" s="11"/>
    </row>
    <row r="141" spans="1:1">
      <c r="A141" s="11"/>
    </row>
    <row r="142" spans="1:1">
      <c r="A142" s="11"/>
    </row>
    <row r="143" spans="1:1">
      <c r="A143" s="11"/>
    </row>
    <row r="144" spans="1:1">
      <c r="A144" s="11"/>
    </row>
    <row r="145" spans="1:1">
      <c r="A145" s="11"/>
    </row>
    <row r="146" spans="1:1">
      <c r="A146" s="11"/>
    </row>
    <row r="147" spans="1:1">
      <c r="A147" s="11"/>
    </row>
    <row r="148" spans="1:1">
      <c r="A148" s="11"/>
    </row>
    <row r="149" spans="1:1">
      <c r="A149" s="11"/>
    </row>
    <row r="150" spans="1:1">
      <c r="A150" s="11"/>
    </row>
    <row r="151" spans="1:1">
      <c r="A151" s="11"/>
    </row>
    <row r="152" spans="1:1">
      <c r="A152" s="11"/>
    </row>
    <row r="153" spans="1:1">
      <c r="A153" s="11"/>
    </row>
    <row r="154" spans="1:1">
      <c r="A154" s="11"/>
    </row>
    <row r="155" spans="1:1">
      <c r="A155" s="11"/>
    </row>
    <row r="156" spans="1:1">
      <c r="A156" s="11"/>
    </row>
    <row r="157" spans="1:1">
      <c r="A157" s="11"/>
    </row>
    <row r="158" spans="1:1">
      <c r="A158" s="11"/>
    </row>
    <row r="159" spans="1:1">
      <c r="A159" s="11"/>
    </row>
    <row r="160" spans="1:1">
      <c r="A160" s="11"/>
    </row>
    <row r="161" spans="1:1">
      <c r="A161" s="11"/>
    </row>
    <row r="162" spans="1:1">
      <c r="A162" s="11"/>
    </row>
    <row r="163" spans="1:1">
      <c r="A163" s="11"/>
    </row>
    <row r="164" spans="1:1">
      <c r="A164" s="11"/>
    </row>
    <row r="165" spans="1:1">
      <c r="A165" s="11"/>
    </row>
    <row r="166" spans="1:1">
      <c r="A166" s="11"/>
    </row>
    <row r="167" spans="1:1">
      <c r="A167" s="11"/>
    </row>
    <row r="168" spans="1:1">
      <c r="A168" s="11"/>
    </row>
    <row r="169" spans="1:1">
      <c r="A169" s="11"/>
    </row>
    <row r="170" spans="1:1">
      <c r="A170" s="11"/>
    </row>
    <row r="171" spans="1:1">
      <c r="A171" s="11"/>
    </row>
    <row r="172" spans="1:1">
      <c r="A172" s="11"/>
    </row>
    <row r="173" spans="1:1">
      <c r="A173" s="11"/>
    </row>
    <row r="174" spans="1:1">
      <c r="A174" s="11"/>
    </row>
    <row r="175" spans="1:1">
      <c r="A175" s="11"/>
    </row>
    <row r="176" spans="1:1">
      <c r="A176" s="11"/>
    </row>
    <row r="177" spans="1:1">
      <c r="A177" s="11"/>
    </row>
    <row r="178" spans="1:1">
      <c r="A178" s="11"/>
    </row>
    <row r="179" spans="1:1">
      <c r="A179" s="11"/>
    </row>
    <row r="180" spans="1:1">
      <c r="A180" s="11"/>
    </row>
    <row r="181" spans="1:1">
      <c r="A181" s="11"/>
    </row>
    <row r="182" spans="1:1">
      <c r="A182" s="11"/>
    </row>
    <row r="183" spans="1:1">
      <c r="A183" s="11"/>
    </row>
    <row r="184" spans="1:1">
      <c r="A184" s="11"/>
    </row>
    <row r="185" spans="1:1">
      <c r="A185" s="11"/>
    </row>
    <row r="186" spans="1:1">
      <c r="A186" s="11"/>
    </row>
    <row r="187" spans="1:1">
      <c r="A187" s="11"/>
    </row>
    <row r="188" spans="1:1">
      <c r="A188" s="11"/>
    </row>
    <row r="189" spans="1:1">
      <c r="A189" s="11"/>
    </row>
    <row r="190" spans="1:1">
      <c r="A190" s="11"/>
    </row>
    <row r="191" spans="1:1">
      <c r="A191" s="11"/>
    </row>
    <row r="192" spans="1:1">
      <c r="A192" s="11"/>
    </row>
    <row r="193" spans="1:1">
      <c r="A193" s="11"/>
    </row>
    <row r="194" spans="1:1">
      <c r="A194" s="11"/>
    </row>
    <row r="195" spans="1:1">
      <c r="A195" s="11"/>
    </row>
    <row r="196" spans="1:1">
      <c r="A196" s="11"/>
    </row>
    <row r="197" spans="1:1">
      <c r="A197" s="11"/>
    </row>
    <row r="198" spans="1:1">
      <c r="A198" s="11"/>
    </row>
    <row r="199" spans="1:1">
      <c r="A199" s="11"/>
    </row>
    <row r="200" spans="1:1">
      <c r="A200" s="11"/>
    </row>
    <row r="201" spans="1:1">
      <c r="A201" s="11"/>
    </row>
    <row r="202" spans="1:1">
      <c r="A202" s="11"/>
    </row>
    <row r="203" spans="1:1">
      <c r="A203" s="11"/>
    </row>
    <row r="204" spans="1:1">
      <c r="A204" s="11"/>
    </row>
    <row r="205" spans="1:1">
      <c r="A205" s="11"/>
    </row>
    <row r="206" spans="1:1">
      <c r="A206" s="11"/>
    </row>
    <row r="207" spans="1:1">
      <c r="A207" s="11"/>
    </row>
    <row r="208" spans="1:1">
      <c r="A208" s="11"/>
    </row>
    <row r="209" spans="1:1">
      <c r="A209" s="11"/>
    </row>
    <row r="210" spans="1:1">
      <c r="A210" s="11"/>
    </row>
    <row r="211" spans="1:1">
      <c r="A211" s="11"/>
    </row>
    <row r="212" spans="1:1">
      <c r="A212" s="11"/>
    </row>
    <row r="213" spans="1:1">
      <c r="A213" s="11"/>
    </row>
    <row r="214" spans="1:1">
      <c r="A214" s="11"/>
    </row>
    <row r="215" spans="1:1">
      <c r="A215" s="11"/>
    </row>
    <row r="216" spans="1:1">
      <c r="A216" s="11"/>
    </row>
    <row r="217" spans="1:1">
      <c r="A217" s="11"/>
    </row>
    <row r="218" spans="1:1">
      <c r="A218" s="11"/>
    </row>
    <row r="219" spans="1:1">
      <c r="A219" s="11"/>
    </row>
    <row r="220" spans="1:1">
      <c r="A220" s="11"/>
    </row>
    <row r="221" spans="1:1">
      <c r="A221" s="11"/>
    </row>
    <row r="222" spans="1:1">
      <c r="A222" s="11"/>
    </row>
    <row r="223" spans="1:1">
      <c r="A223" s="11"/>
    </row>
    <row r="224" spans="1:1">
      <c r="A224" s="11"/>
    </row>
    <row r="225" spans="1:1">
      <c r="A225" s="11"/>
    </row>
    <row r="226" spans="1:1">
      <c r="A226" s="11"/>
    </row>
    <row r="227" spans="1:1">
      <c r="A227" s="11"/>
    </row>
    <row r="228" spans="1:1">
      <c r="A228" s="11"/>
    </row>
    <row r="229" spans="1:1">
      <c r="A229" s="11"/>
    </row>
    <row r="230" spans="1:1">
      <c r="A230" s="11"/>
    </row>
    <row r="231" spans="1:1">
      <c r="A231" s="11"/>
    </row>
    <row r="232" spans="1:1">
      <c r="A232" s="11"/>
    </row>
    <row r="233" spans="1:1">
      <c r="A233" s="11"/>
    </row>
    <row r="234" spans="1:1">
      <c r="A234" s="11"/>
    </row>
    <row r="235" spans="1:1">
      <c r="A235" s="11"/>
    </row>
    <row r="236" spans="1:1">
      <c r="A236" s="11"/>
    </row>
    <row r="237" spans="1:1">
      <c r="A237" s="11"/>
    </row>
    <row r="238" spans="1:1">
      <c r="A238" s="11"/>
    </row>
    <row r="239" spans="1:1">
      <c r="A239" s="11"/>
    </row>
    <row r="240" spans="1:1">
      <c r="A240" s="11"/>
    </row>
    <row r="241" spans="1:1">
      <c r="A241" s="11"/>
    </row>
    <row r="242" spans="1:1">
      <c r="A242" s="11"/>
    </row>
    <row r="243" spans="1:1">
      <c r="A243" s="11"/>
    </row>
    <row r="244" spans="1:1">
      <c r="A244" s="11"/>
    </row>
    <row r="245" spans="1:1">
      <c r="A245" s="11"/>
    </row>
    <row r="246" spans="1:1">
      <c r="A246" s="11"/>
    </row>
    <row r="247" spans="1:1">
      <c r="A247" s="11"/>
    </row>
    <row r="248" spans="1:1">
      <c r="A248" s="11"/>
    </row>
    <row r="249" spans="1:1">
      <c r="A249" s="11"/>
    </row>
    <row r="250" spans="1:1">
      <c r="A250" s="11"/>
    </row>
    <row r="251" spans="1:1">
      <c r="A251" s="11"/>
    </row>
    <row r="252" spans="1:1">
      <c r="A252" s="11"/>
    </row>
    <row r="253" spans="1:1">
      <c r="A253" s="11"/>
    </row>
    <row r="254" spans="1:1">
      <c r="A254" s="11"/>
    </row>
    <row r="255" spans="1:1">
      <c r="A255" s="11"/>
    </row>
    <row r="256" spans="1:1">
      <c r="A256" s="11"/>
    </row>
    <row r="257" spans="1:1">
      <c r="A257" s="11"/>
    </row>
    <row r="258" spans="1:1">
      <c r="A258" s="11"/>
    </row>
    <row r="259" spans="1:1">
      <c r="A259" s="11"/>
    </row>
    <row r="260" spans="1:1">
      <c r="A260" s="11"/>
    </row>
    <row r="261" spans="1:1">
      <c r="A261" s="11"/>
    </row>
    <row r="262" spans="1:1">
      <c r="A262" s="11"/>
    </row>
    <row r="263" spans="1:1">
      <c r="A263" s="11"/>
    </row>
    <row r="264" spans="1:1">
      <c r="A264" s="11"/>
    </row>
    <row r="265" spans="1:1">
      <c r="A265" s="11"/>
    </row>
    <row r="266" spans="1:1">
      <c r="A266" s="11"/>
    </row>
    <row r="267" spans="1:1">
      <c r="A267" s="11"/>
    </row>
    <row r="268" spans="1:1">
      <c r="A268" s="11"/>
    </row>
    <row r="269" spans="1:1">
      <c r="A269" s="11"/>
    </row>
    <row r="270" spans="1:1">
      <c r="A270" s="11"/>
    </row>
    <row r="271" spans="1:1">
      <c r="A271" s="11"/>
    </row>
    <row r="272" spans="1:1">
      <c r="A272" s="11"/>
    </row>
    <row r="273" spans="1:1">
      <c r="A273" s="11"/>
    </row>
    <row r="274" spans="1:1">
      <c r="A274" s="11"/>
    </row>
    <row r="275" spans="1:1">
      <c r="A275" s="11"/>
    </row>
    <row r="276" spans="1:1">
      <c r="A276" s="11"/>
    </row>
    <row r="277" spans="1:1">
      <c r="A277" s="11"/>
    </row>
    <row r="278" spans="1:1">
      <c r="A278" s="11"/>
    </row>
    <row r="279" spans="1:1">
      <c r="A279" s="11"/>
    </row>
    <row r="280" spans="1:1">
      <c r="A280" s="11"/>
    </row>
    <row r="281" spans="1:1">
      <c r="A281" s="11"/>
    </row>
    <row r="282" spans="1:1">
      <c r="A282" s="11"/>
    </row>
    <row r="283" spans="1:1">
      <c r="A283" s="11"/>
    </row>
    <row r="284" spans="1:1">
      <c r="A284" s="11"/>
    </row>
    <row r="285" spans="1:1">
      <c r="A285" s="11"/>
    </row>
    <row r="286" spans="1:1">
      <c r="A286" s="11"/>
    </row>
    <row r="287" spans="1:1">
      <c r="A287" s="11"/>
    </row>
    <row r="288" spans="1:1">
      <c r="A288" s="11"/>
    </row>
    <row r="289" spans="1:1">
      <c r="A289" s="11"/>
    </row>
    <row r="290" spans="1:1">
      <c r="A290" s="11"/>
    </row>
    <row r="291" spans="1:1">
      <c r="A291" s="11"/>
    </row>
    <row r="292" spans="1:1">
      <c r="A292" s="11"/>
    </row>
    <row r="293" spans="1:1">
      <c r="A293" s="11"/>
    </row>
    <row r="294" spans="1:1">
      <c r="A294" s="11"/>
    </row>
    <row r="295" spans="1:1">
      <c r="A295" s="11"/>
    </row>
    <row r="296" spans="1:1">
      <c r="A296" s="11"/>
    </row>
    <row r="297" spans="1:1">
      <c r="A297" s="11"/>
    </row>
    <row r="298" spans="1:1">
      <c r="A298" s="11"/>
    </row>
    <row r="299" spans="1:1">
      <c r="A299" s="11"/>
    </row>
    <row r="300" spans="1:1">
      <c r="A300" s="11"/>
    </row>
    <row r="301" spans="1:1">
      <c r="A301" s="11"/>
    </row>
    <row r="302" spans="1:1">
      <c r="A302" s="11"/>
    </row>
    <row r="303" spans="1:1">
      <c r="A303" s="11"/>
    </row>
    <row r="304" spans="1:1">
      <c r="A304" s="11"/>
    </row>
    <row r="305" spans="1:1">
      <c r="A305" s="11"/>
    </row>
    <row r="306" spans="1:1">
      <c r="A306" s="11"/>
    </row>
    <row r="307" spans="1:1">
      <c r="A307" s="11"/>
    </row>
    <row r="308" spans="1:1">
      <c r="A308" s="11"/>
    </row>
    <row r="309" spans="1:1">
      <c r="A309" s="11"/>
    </row>
    <row r="310" spans="1:1">
      <c r="A310" s="11"/>
    </row>
    <row r="311" spans="1:1">
      <c r="A311" s="11"/>
    </row>
    <row r="312" spans="1:1">
      <c r="A312" s="11"/>
    </row>
    <row r="313" spans="1:1">
      <c r="A313" s="11"/>
    </row>
    <row r="314" spans="1:1">
      <c r="A314" s="11"/>
    </row>
    <row r="315" spans="1:1">
      <c r="A315" s="11"/>
    </row>
    <row r="316" spans="1:1">
      <c r="A316" s="11"/>
    </row>
    <row r="317" spans="1:1">
      <c r="A317" s="11"/>
    </row>
    <row r="318" spans="1:1">
      <c r="A318" s="11"/>
    </row>
    <row r="319" spans="1:1">
      <c r="A319" s="11"/>
    </row>
    <row r="320" spans="1:1">
      <c r="A320" s="11"/>
    </row>
    <row r="321" spans="1:1">
      <c r="A321" s="11"/>
    </row>
    <row r="322" spans="1:1">
      <c r="A322" s="11"/>
    </row>
    <row r="323" spans="1:1">
      <c r="A323" s="11"/>
    </row>
    <row r="324" spans="1:1">
      <c r="A324" s="11"/>
    </row>
    <row r="325" spans="1:1">
      <c r="A325" s="11"/>
    </row>
    <row r="326" spans="1:1">
      <c r="A326" s="11"/>
    </row>
    <row r="327" spans="1:1">
      <c r="A327" s="11"/>
    </row>
    <row r="328" spans="1:1">
      <c r="A328" s="11"/>
    </row>
    <row r="329" spans="1:1">
      <c r="A329" s="11"/>
    </row>
  </sheetData>
  <sheetProtection algorithmName="SHA-512" hashValue="6xhpCOhMI9MNZvXN2dX4v4CWYiK1MmJnSwWUHKsa9Utiqgpmj5bsIxvksFVbT2Cl7pyaK01MuTWQ4ximTXpQwA==" saltValue="/o8FFeyOAV13vtKPENyo/A==" spinCount="100000" sheet="1" formatCells="0" formatColumns="0" insertHyperlinks="0" sort="0" autoFilter="0" pivotTables="0"/>
  <dataConsolidate/>
  <mergeCells count="9">
    <mergeCell ref="H36:I36"/>
    <mergeCell ref="H35:K35"/>
    <mergeCell ref="J36:K36"/>
    <mergeCell ref="C9:D9"/>
    <mergeCell ref="C10:D10"/>
    <mergeCell ref="C17:D17"/>
    <mergeCell ref="E17:F17"/>
    <mergeCell ref="C36:D36"/>
    <mergeCell ref="E36:F36"/>
  </mergeCells>
  <conditionalFormatting sqref="C50">
    <cfRule type="cellIs" dxfId="5" priority="4" operator="equal">
      <formula>"CHECK"</formula>
    </cfRule>
  </conditionalFormatting>
  <conditionalFormatting sqref="E50">
    <cfRule type="cellIs" dxfId="4" priority="2" operator="equal">
      <formula>"CHECK"</formula>
    </cfRule>
  </conditionalFormatting>
  <conditionalFormatting sqref="D34">
    <cfRule type="cellIs" dxfId="3" priority="1" operator="equal">
      <formula>"CHECK"</formula>
    </cfRule>
  </conditionalFormatting>
  <dataValidations count="2">
    <dataValidation allowBlank="1" showInputMessage="1" showErrorMessage="1" prompt="Net Claim Liability @ 75% Confidence Level" sqref="C38:D38" xr:uid="{00000000-0002-0000-0700-000000000000}"/>
    <dataValidation allowBlank="1" showInputMessage="1" showErrorMessage="1" prompt="URR @ 75% Confidence Level" sqref="E38:F38" xr:uid="{00000000-0002-0000-0700-000001000000}"/>
  </dataValidations>
  <pageMargins left="0.7" right="0.7" top="0.75" bottom="0.75" header="0.3" footer="0.3"/>
  <pageSetup paperSize="9" scale="57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actice_x0020_Area xmlns="22869921-b021-444e-9beb-cd740f80e530">General Insurance</Practice_x0020_Area>
    <Year xmlns="22869921-b021-444e-9beb-cd740f80e530">2015</Year>
    <Project_x0020_Type xmlns="22869921-b021-444e-9beb-cd740f80e530" xsi:nil="true"/>
    <Document_x0020_Type xmlns="22869921-b021-444e-9beb-cd740f80e530" xsi:nil="true"/>
    <Month xmlns="22869921-b021-444e-9beb-cd740f80e530">Mar</Month>
    <Client xmlns="22869921-b021-444e-9beb-cd740f80e530" xsi:nil="true"/>
    <Country xmlns="22869921-b021-444e-9beb-cd740f80e530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83B0693EBAED4A892BC8357B4311B7" ma:contentTypeVersion="12" ma:contentTypeDescription="Create a new document." ma:contentTypeScope="" ma:versionID="7e66fffb66218ffeb3ad4fd950ed9f5c">
  <xsd:schema xmlns:xsd="http://www.w3.org/2001/XMLSchema" xmlns:xs="http://www.w3.org/2001/XMLSchema" xmlns:p="http://schemas.microsoft.com/office/2006/metadata/properties" xmlns:ns2="22869921-b021-444e-9beb-cd740f80e530" xmlns:ns3="5c23783c-ee45-4349-9d52-ccc671709c01" targetNamespace="http://schemas.microsoft.com/office/2006/metadata/properties" ma:root="true" ma:fieldsID="6d5bff4c71d9d0e68d1dfbdeba55c2e7" ns2:_="" ns3:_="">
    <xsd:import namespace="22869921-b021-444e-9beb-cd740f80e530"/>
    <xsd:import namespace="5c23783c-ee45-4349-9d52-ccc671709c01"/>
    <xsd:element name="properties">
      <xsd:complexType>
        <xsd:sequence>
          <xsd:element name="documentManagement">
            <xsd:complexType>
              <xsd:all>
                <xsd:element ref="ns2:Practice_x0020_Area" minOccurs="0"/>
                <xsd:element ref="ns2:Country" minOccurs="0"/>
                <xsd:element ref="ns2:Year" minOccurs="0"/>
                <xsd:element ref="ns2:Month" minOccurs="0"/>
                <xsd:element ref="ns2:Project_x0020_Type" minOccurs="0"/>
                <xsd:element ref="ns2:Client" minOccurs="0"/>
                <xsd:element ref="ns2:Document_x0020_Type" minOccurs="0"/>
                <xsd:element ref="ns3:SharedWithUsers" minOccurs="0"/>
                <xsd:element ref="ns3:SharingHintHash" minOccurs="0"/>
                <xsd:element ref="ns3:SharedWithDetails" minOccurs="0"/>
                <xsd:element ref="ns3:LastSharedByUser" minOccurs="0"/>
                <xsd:element ref="ns3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869921-b021-444e-9beb-cd740f80e530" elementFormDefault="qualified">
    <xsd:import namespace="http://schemas.microsoft.com/office/2006/documentManagement/types"/>
    <xsd:import namespace="http://schemas.microsoft.com/office/infopath/2007/PartnerControls"/>
    <xsd:element name="Practice_x0020_Area" ma:index="8" nillable="true" ma:displayName="Practice Area" ma:format="Dropdown" ma:internalName="Practice_x0020_Area">
      <xsd:simpleType>
        <xsd:restriction base="dms:Choice">
          <xsd:enumeration value="General Insurance"/>
          <xsd:enumeration value="Health"/>
          <xsd:enumeration value="Investments"/>
          <xsd:enumeration value="Life Insurance"/>
          <xsd:enumeration value="Retirement"/>
        </xsd:restriction>
      </xsd:simpleType>
    </xsd:element>
    <xsd:element name="Country" ma:index="9" nillable="true" ma:displayName="Country" ma:internalName="Count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ustralia"/>
                    <xsd:enumeration value="Hong Kong"/>
                    <xsd:enumeration value="Indonesia"/>
                    <xsd:enumeration value="Malaysia"/>
                    <xsd:enumeration value="Myanmar"/>
                    <xsd:enumeration value="Papua New Guinea"/>
                    <xsd:enumeration value="Philippines"/>
                    <xsd:enumeration value="Saudi Arabia"/>
                    <xsd:enumeration value="Singapore"/>
                    <xsd:enumeration value="South Africa"/>
                    <xsd:enumeration value="Sri Lanka"/>
                    <xsd:enumeration value="Thailand"/>
                  </xsd:restriction>
                </xsd:simpleType>
              </xsd:element>
            </xsd:sequence>
          </xsd:extension>
        </xsd:complexContent>
      </xsd:complexType>
    </xsd:element>
    <xsd:element name="Year" ma:index="10" nillable="true" ma:displayName="Year" ma:description="Please enter the year in full eg 2013" ma:internalName="Year">
      <xsd:simpleType>
        <xsd:restriction base="dms:Text">
          <xsd:maxLength value="255"/>
        </xsd:restriction>
      </xsd:simpleType>
    </xsd:element>
    <xsd:element name="Month" ma:index="11" nillable="true" ma:displayName="Month" ma:format="Dropdown" ma:internalName="Month">
      <xsd:simpleType>
        <xsd:restriction base="dms:Choice">
          <xsd:enumeration value="Jan"/>
          <xsd:enumeration value="Feb"/>
          <xsd:enumeration value="Mar"/>
          <xsd:enumeration value="Apr"/>
          <xsd:enumeration value="May"/>
          <xsd:enumeration value="Jun"/>
          <xsd:enumeration value="Jul"/>
          <xsd:enumeration value="Aug"/>
          <xsd:enumeration value="Sep"/>
          <xsd:enumeration value="Oct"/>
          <xsd:enumeration value="Nov"/>
          <xsd:enumeration value="Dec"/>
        </xsd:restriction>
      </xsd:simpleType>
    </xsd:element>
    <xsd:element name="Project_x0020_Type" ma:index="12" nillable="true" ma:displayName="Project Type" ma:format="Dropdown" ma:internalName="Project_x0020_Type">
      <xsd:simpleType>
        <xsd:restriction base="dms:Choice">
          <xsd:enumeration value="Ad-Hoc"/>
          <xsd:enumeration value="Appraisal Valuation"/>
          <xsd:enumeration value="Capital Modelling"/>
          <xsd:enumeration value="Conference/Seminar"/>
          <xsd:enumeration value="Liability Valuation"/>
          <xsd:enumeration value="Pricing"/>
          <xsd:enumeration value="Reinsurance"/>
          <xsd:enumeration value="Stress Testing"/>
          <xsd:enumeration value="Training"/>
        </xsd:restriction>
      </xsd:simpleType>
    </xsd:element>
    <xsd:element name="Client" ma:index="13" nillable="true" ma:displayName="Client" ma:format="Dropdown" ma:internalName="Client">
      <xsd:simpleType>
        <xsd:restriction base="dms:Choice">
          <xsd:enumeration value="ACR"/>
          <xsd:enumeration value="Affin Malka"/>
          <xsd:enumeration value="Allianz"/>
          <xsd:enumeration value="Allianz Utama"/>
          <xsd:enumeration value="Al Rajhi"/>
          <xsd:enumeration value="Amana Takaful"/>
          <xsd:enumeration value="AmAssurance"/>
          <xsd:enumeration value="Asean Retakaful International"/>
          <xsd:enumeration value="Asian Alliance"/>
          <xsd:enumeration value="Aviva NDB"/>
          <xsd:enumeration value="AWAC"/>
          <xsd:enumeration value="Bank Rakyat"/>
          <xsd:enumeration value="Berjaya Sompo Insurance"/>
          <xsd:enumeration value="Bernas"/>
          <xsd:enumeration value="Best Re"/>
          <xsd:enumeration value="Bluewell"/>
          <xsd:enumeration value="BPA"/>
          <xsd:enumeration value="Century Insurance"/>
          <xsd:enumeration value="Ceylinco Insurance"/>
          <xsd:enumeration value="Ceylon Steel Corporation"/>
          <xsd:enumeration value="CGC"/>
          <xsd:enumeration value="China Insurance"/>
          <xsd:enumeration value="Continental Insurance"/>
          <xsd:enumeration value="Direct Asia"/>
          <xsd:enumeration value="DPMC"/>
          <xsd:enumeration value="Ernst &amp; Young"/>
          <xsd:enumeration value="Etiqa"/>
          <xsd:enumeration value="Etiqa Insurance &amp; Takaful"/>
          <xsd:enumeration value="Evergreen"/>
          <xsd:enumeration value="Everest Re"/>
          <xsd:enumeration value="EXIM"/>
          <xsd:enumeration value="First National Insurance"/>
          <xsd:enumeration value="Gear Analytics"/>
          <xsd:enumeration value="Generali"/>
          <xsd:enumeration value="GESB"/>
          <xsd:enumeration value="HICOM"/>
          <xsd:enumeration value="HNB Insurance"/>
          <xsd:enumeration value="Hollard"/>
          <xsd:enumeration value="Hong Leong"/>
          <xsd:enumeration value="HSBC Amana Takaful"/>
          <xsd:enumeration value="IASL"/>
          <xsd:enumeration value="iCapital"/>
          <xsd:enumeration value="Industry"/>
          <xsd:enumeration value="IMI"/>
          <xsd:enumeration value="ING"/>
          <xsd:enumeration value="INS"/>
          <xsd:enumeration value="Janashakthi"/>
          <xsd:enumeration value="KIT"/>
          <xsd:enumeration value="Kurnia"/>
          <xsd:enumeration value="Kooperasi Tentera"/>
          <xsd:enumeration value="KSK"/>
          <xsd:enumeration value="Leapfrog"/>
          <xsd:enumeration value="Lonpac"/>
          <xsd:enumeration value="LOLC Insurance"/>
          <xsd:enumeration value="MAA Takaful"/>
          <xsd:enumeration value="Macquarie"/>
          <xsd:enumeration value="Malaysian Re"/>
          <xsd:enumeration value="Maybank"/>
          <xsd:enumeration value="Mayban Assurance"/>
          <xsd:enumeration value="MBSL"/>
          <xsd:enumeration value="MCIS Zurich"/>
          <xsd:enumeration value="Mediterranean Shipping Company"/>
          <xsd:enumeration value="Nylex"/>
          <xsd:enumeration value="Orient Insurance"/>
          <xsd:enumeration value="Pacific &amp; Orient Insurance"/>
          <xsd:enumeration value="People's Insurance"/>
          <xsd:enumeration value="Progressive Insurance"/>
          <xsd:enumeration value="PruBSN"/>
          <xsd:enumeration value="PTTEP"/>
          <xsd:enumeration value="RBC Advisory"/>
          <xsd:enumeration value="RHB Insurance"/>
          <xsd:enumeration value="RHB Investment Bank"/>
          <xsd:enumeration value="Sanasa Insurance"/>
          <xsd:enumeration value="Sarana Lindung Upaya"/>
          <xsd:enumeration value="Senai Airport"/>
          <xsd:enumeration value="Shenton"/>
          <xsd:enumeration value="Sun Life"/>
          <xsd:enumeration value="SLIC"/>
          <xsd:enumeration value="Syarikat Takaful Malaysia"/>
          <xsd:enumeration value="Takaful BIBD"/>
          <xsd:enumeration value="Takaful Ihklas"/>
          <xsd:enumeration value="TIM Electronics"/>
          <xsd:enumeration value="Tokio Marine"/>
          <xsd:enumeration value="Union Assurance"/>
          <xsd:enumeration value="Victory"/>
          <xsd:enumeration value="Whittington"/>
        </xsd:restriction>
      </xsd:simpleType>
    </xsd:element>
    <xsd:element name="Document_x0020_Type" ma:index="14" nillable="true" ma:displayName="Document Type" ma:format="Dropdown" ma:internalName="Document_x0020_Type">
      <xsd:simpleType>
        <xsd:restriction base="dms:Choice">
          <xsd:enumeration value="Presentation"/>
          <xsd:enumeration value="Report"/>
          <xsd:enumeration value="Response to Queri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23783c-ee45-4349-9d52-ccc671709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6" nillable="true" ma:displayName="Sharing Hint Hash" ma:internalName="SharingHintHash" ma:readOnly="true">
      <xsd:simpleType>
        <xsd:restriction base="dms:Text"/>
      </xsd:simpleType>
    </xsd:element>
    <xsd:element name="SharedWithDetails" ma:index="17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8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9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1F6370-6A31-4EE3-ABC4-85381D7E04D7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22869921-b021-444e-9beb-cd740f80e530"/>
    <ds:schemaRef ds:uri="http://www.w3.org/XML/1998/namespace"/>
    <ds:schemaRef ds:uri="http://schemas.openxmlformats.org/package/2006/metadata/core-properties"/>
    <ds:schemaRef ds:uri="5c23783c-ee45-4349-9d52-ccc671709c0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F3D08AC-3212-4EF9-ADAE-2BC5ECC085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869921-b021-444e-9beb-cd740f80e530"/>
    <ds:schemaRef ds:uri="5c23783c-ee45-4349-9d52-ccc671709c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6D4B67-A4B8-41DA-841B-F523681D15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Cover</vt:lpstr>
      <vt:lpstr>Notes</vt:lpstr>
      <vt:lpstr>Revisions</vt:lpstr>
      <vt:lpstr>CAR</vt:lpstr>
      <vt:lpstr>RBC Requirement</vt:lpstr>
      <vt:lpstr>Input &gt;</vt:lpstr>
      <vt:lpstr>Input_Capital</vt:lpstr>
      <vt:lpstr>Input_Asset</vt:lpstr>
      <vt:lpstr>Input_Liability</vt:lpstr>
      <vt:lpstr>Input_ALM</vt:lpstr>
      <vt:lpstr>Input_Currency</vt:lpstr>
      <vt:lpstr>Input_Operational</vt:lpstr>
      <vt:lpstr>Input_Catastrophe</vt:lpstr>
      <vt:lpstr>Parameters &gt;</vt:lpstr>
      <vt:lpstr>RC%_Receivables</vt:lpstr>
      <vt:lpstr>CAR!Print_Area</vt:lpstr>
      <vt:lpstr>'RC%_Receivables'!Print_Area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Wong;apb.borres@insurance.gov.ph</dc:creator>
  <cp:lastModifiedBy>Jennifer C. Manicad</cp:lastModifiedBy>
  <dcterms:created xsi:type="dcterms:W3CDTF">2006-09-16T00:00:00Z</dcterms:created>
  <dcterms:modified xsi:type="dcterms:W3CDTF">2023-03-29T02:28:11Z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0x0101007983B0693EBAED4A892BC8357B4311B7</vt:lpwstr>
  </property>
</Properties>
</file>